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verted SL Scenarios" sheetId="1" r:id="rId3"/>
    <sheet state="visible" name="Sheet2" sheetId="2" r:id="rId4"/>
  </sheets>
  <definedNames>
    <definedName name="Table">'Converted SL Scenarios'!$A$1:$L$120</definedName>
    <definedName hidden="1" localSheetId="0" name="_xlnm._FilterDatabase">'Converted SL Scenarios'!$A$1:$M$120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96">
      <text>
        <t xml:space="preserve">See also VotG14 Pavlov's House from Valor of the Guards.</t>
      </text>
    </comment>
    <comment authorId="0" ref="F100">
      <text>
        <t xml:space="preserve">Remade (although scaled down) as the Primosole Bridge CG</t>
      </text>
    </comment>
    <comment authorId="0" ref="F114">
      <text>
        <t xml:space="preserve">Both the RB CG II and the scenario RB5 - The Last Bid depicts this action.</t>
      </text>
    </comment>
  </commentList>
</comments>
</file>

<file path=xl/sharedStrings.xml><?xml version="1.0" encoding="utf-8"?>
<sst xmlns="http://schemas.openxmlformats.org/spreadsheetml/2006/main" count="676" uniqueCount="351">
  <si>
    <t>Original Year</t>
  </si>
  <si>
    <t>Original SL Module / Publication</t>
  </si>
  <si>
    <t>SL ID #</t>
  </si>
  <si>
    <t>Scenario Title</t>
  </si>
  <si>
    <t>ASL Module / Publication, Latest</t>
  </si>
  <si>
    <t>ASL ID #</t>
  </si>
  <si>
    <t>Prior pub</t>
  </si>
  <si>
    <t>Prior pub 2</t>
  </si>
  <si>
    <t>Defender</t>
  </si>
  <si>
    <t>Attacker</t>
  </si>
  <si>
    <t>Scenario Date</t>
  </si>
  <si>
    <t>Location</t>
  </si>
  <si>
    <t>Note</t>
  </si>
  <si>
    <t>Squad Leader</t>
  </si>
  <si>
    <t>The Guards Counterattack</t>
  </si>
  <si>
    <t>German</t>
  </si>
  <si>
    <t>Russian</t>
  </si>
  <si>
    <t>Stalingrad, Russia</t>
  </si>
  <si>
    <t>The Tractor Works</t>
  </si>
  <si>
    <t>The Streets of Stalingrad</t>
  </si>
  <si>
    <t>The Hedgehog of Piepsk</t>
  </si>
  <si>
    <t>Piepsk, Central Russia</t>
  </si>
  <si>
    <t>Hill 621</t>
  </si>
  <si>
    <t>Near Minsk, Russia</t>
  </si>
  <si>
    <t>Escape from Velikiye Luki</t>
  </si>
  <si>
    <t>Velikiye Luki, Central Russia</t>
  </si>
  <si>
    <t>Buchholz Station</t>
  </si>
  <si>
    <t>American</t>
  </si>
  <si>
    <t>Buchholz, Germany</t>
  </si>
  <si>
    <t>The Bitche Salient</t>
  </si>
  <si>
    <t>Bitche, Southern Germany</t>
  </si>
  <si>
    <t>The Cannes Strongpoint</t>
  </si>
  <si>
    <t>Cannes, France</t>
  </si>
  <si>
    <t>Hitdorf on the Rhine</t>
  </si>
  <si>
    <t>Hitdorf, Germany</t>
  </si>
  <si>
    <t>The St. Goar Assault</t>
  </si>
  <si>
    <t>Rhine Valley, Saint Goar, Germany</t>
  </si>
  <si>
    <t>The Road to Wiltz</t>
  </si>
  <si>
    <t>East of Wiltz, Belgium</t>
  </si>
  <si>
    <t>Cross of Iron</t>
  </si>
  <si>
    <t>The Capture of Balta</t>
  </si>
  <si>
    <t>German / Romanian</t>
  </si>
  <si>
    <t>Balta, Ukraine</t>
  </si>
  <si>
    <t>The Paw of the Tiger</t>
  </si>
  <si>
    <t>South of Leningrad, Russia</t>
  </si>
  <si>
    <t>Hube's Pocket</t>
  </si>
  <si>
    <t>Near Buchach, Southern Russia</t>
  </si>
  <si>
    <t>Sowchos 79</t>
  </si>
  <si>
    <t>Southern Russia</t>
  </si>
  <si>
    <t>Debacle at Korosten</t>
  </si>
  <si>
    <t>Along the Kiev Road, Russia</t>
  </si>
  <si>
    <t>The Defense of Luga</t>
  </si>
  <si>
    <t>A Winter Melee</t>
  </si>
  <si>
    <t>Okorovovo, Russia</t>
  </si>
  <si>
    <t>Breakout from Borisov</t>
  </si>
  <si>
    <t>Borisov, east of the Berezina River, Russia</t>
  </si>
  <si>
    <t>The General 15.6</t>
  </si>
  <si>
    <t>A</t>
  </si>
  <si>
    <t>Burzevo</t>
  </si>
  <si>
    <t>Burzevo, Russia</t>
  </si>
  <si>
    <t>B</t>
  </si>
  <si>
    <t>Hill 253.5</t>
  </si>
  <si>
    <t>Near Ponyri, Russia</t>
  </si>
  <si>
    <t>C</t>
  </si>
  <si>
    <t>The Bukrin Bridgehead</t>
  </si>
  <si>
    <t>50 miles southeast of Kiev, Russia</t>
  </si>
  <si>
    <t>D</t>
  </si>
  <si>
    <t>Delaying Action</t>
  </si>
  <si>
    <t>West of Libau, Lithuania</t>
  </si>
  <si>
    <t>Series 100</t>
  </si>
  <si>
    <t>Blocking Action at Lipki</t>
  </si>
  <si>
    <t>Near Borisov, Russia</t>
  </si>
  <si>
    <t>Slamming of the Door</t>
  </si>
  <si>
    <t>Panikovo Forest, Russia</t>
  </si>
  <si>
    <t>Bald Hill</t>
  </si>
  <si>
    <t>Leningrad, Russia</t>
  </si>
  <si>
    <t>The Penetration of Rostov</t>
  </si>
  <si>
    <t>Rostov, Russia</t>
  </si>
  <si>
    <t>Night Battle at Noromaryevka</t>
  </si>
  <si>
    <t>Village of Noromaryevka, Russia</t>
  </si>
  <si>
    <t>Beachhead at Ozereyka Bay</t>
  </si>
  <si>
    <t>Romanian / German</t>
  </si>
  <si>
    <t>Near Glebovka, Russia</t>
  </si>
  <si>
    <t>Disaster on the Dnieper Loop</t>
  </si>
  <si>
    <t>Dnieper River, Russia</t>
  </si>
  <si>
    <t>Block Busting in Bokruisk</t>
  </si>
  <si>
    <t>Bokruisk, Russia</t>
  </si>
  <si>
    <t>Counterattack on the Vistula</t>
  </si>
  <si>
    <t>Near Wola Chodkowska, Poland</t>
  </si>
  <si>
    <t>The Agony of Doom</t>
  </si>
  <si>
    <t>Muncheberg, Germany</t>
  </si>
  <si>
    <t>Crescendo of Doom</t>
  </si>
  <si>
    <t>Battle for the Warta Line</t>
  </si>
  <si>
    <t>Polish</t>
  </si>
  <si>
    <t>Warta River, Central Poland</t>
  </si>
  <si>
    <t>The Borders are Burning</t>
  </si>
  <si>
    <t>Finnish</t>
  </si>
  <si>
    <t>Kuhmo, Finland</t>
  </si>
  <si>
    <t>Silent Death</t>
  </si>
  <si>
    <t>Aittojoki, Finland</t>
  </si>
  <si>
    <t>Action at Balberkamp</t>
  </si>
  <si>
    <t>Norwegian / British</t>
  </si>
  <si>
    <t>Near Balberkamp, Norway</t>
  </si>
  <si>
    <t>Resistance at Chabrehez</t>
  </si>
  <si>
    <t>Belgian</t>
  </si>
  <si>
    <t>The Ardennes, Belgium</t>
  </si>
  <si>
    <t>Assault on a Queen</t>
  </si>
  <si>
    <t>Dutch</t>
  </si>
  <si>
    <t>The Hague, Netherlands</t>
  </si>
  <si>
    <t>The Dinant Bridgehead</t>
  </si>
  <si>
    <t>French</t>
  </si>
  <si>
    <t>Houx, Belgium</t>
  </si>
  <si>
    <t>Counterstroke at Stonne</t>
  </si>
  <si>
    <t>Stonne, France</t>
  </si>
  <si>
    <t>CdG 2nd Ed</t>
  </si>
  <si>
    <t>In Rommel's Wake</t>
  </si>
  <si>
    <t>On the Meuse, France</t>
  </si>
  <si>
    <t>Ad Hoc at Beaurains</t>
  </si>
  <si>
    <t>British</t>
  </si>
  <si>
    <t>Beaurains, France</t>
  </si>
  <si>
    <t>Chateau de Quesnoy</t>
  </si>
  <si>
    <t>Near Conde-Folie, France</t>
  </si>
  <si>
    <t>Rehearsal for Crete</t>
  </si>
  <si>
    <t>Commonwealth / Greek</t>
  </si>
  <si>
    <t>Argos, in the Peloponnesus, Greece</t>
  </si>
  <si>
    <t>The General 17.2</t>
  </si>
  <si>
    <t>E</t>
  </si>
  <si>
    <t>Niscemi-Biscari Highway</t>
  </si>
  <si>
    <t>Northwest of Biscari, Sicily, Italy</t>
  </si>
  <si>
    <t>F</t>
  </si>
  <si>
    <t>The Pouppeville Exit</t>
  </si>
  <si>
    <t>Pouppeville, France</t>
  </si>
  <si>
    <t>G</t>
  </si>
  <si>
    <t>Devil's Hill</t>
  </si>
  <si>
    <t>South of Nijmegen, Holland, the Netherlands</t>
  </si>
  <si>
    <t>H</t>
  </si>
  <si>
    <t>The Attempt to Relieve Peiper</t>
  </si>
  <si>
    <t>German (SS)</t>
  </si>
  <si>
    <t>South of Trois Ponts, Belgium</t>
  </si>
  <si>
    <t>I</t>
  </si>
  <si>
    <t>Hunters from the Sky</t>
  </si>
  <si>
    <t>Near Hamminkeln, Germany</t>
  </si>
  <si>
    <t>Series 200</t>
  </si>
  <si>
    <t>Sacrifice of Polish Armor</t>
  </si>
  <si>
    <t>Novy Targ Region, Southern Polnad</t>
  </si>
  <si>
    <t>Under Cover of Darkness</t>
  </si>
  <si>
    <t>Gdynia, Northern Poland</t>
  </si>
  <si>
    <t>Bitter Defense at Otta</t>
  </si>
  <si>
    <t>Gudbrandsdal Valley, Norway</t>
  </si>
  <si>
    <t>Chance D'une Affaire</t>
  </si>
  <si>
    <t>Near Chehery, France</t>
  </si>
  <si>
    <t>Last Defense Line</t>
  </si>
  <si>
    <t>Bouvellemont, France</t>
  </si>
  <si>
    <t>Fighting at World's Edge</t>
  </si>
  <si>
    <t>Norwegian / Free French</t>
  </si>
  <si>
    <t>Taraldsvikfjell, Norway</t>
  </si>
  <si>
    <t>The French Perimeter</t>
  </si>
  <si>
    <t>Spyckar, France</t>
  </si>
  <si>
    <t>Road to Kozani Pass</t>
  </si>
  <si>
    <t>Komanos, Western Greece</t>
  </si>
  <si>
    <t>The Akrotiri Peninsula</t>
  </si>
  <si>
    <t>Profitilias, Crete</t>
  </si>
  <si>
    <t>Commando Raid at Dieppe</t>
  </si>
  <si>
    <t>British / American</t>
  </si>
  <si>
    <t>Varengeville, France</t>
  </si>
  <si>
    <t>The General 18.2</t>
  </si>
  <si>
    <t>J</t>
  </si>
  <si>
    <t>Semper Paratus</t>
  </si>
  <si>
    <t>Canadian</t>
  </si>
  <si>
    <t>Ooerderen, Holland</t>
  </si>
  <si>
    <t>The General 18.3</t>
  </si>
  <si>
    <t>K</t>
  </si>
  <si>
    <t>Fast Heinz</t>
  </si>
  <si>
    <t>East of Roslavi, Russia</t>
  </si>
  <si>
    <t>The General 18.4</t>
  </si>
  <si>
    <t>L</t>
  </si>
  <si>
    <t>The Long Road</t>
  </si>
  <si>
    <t>Vichy French</t>
  </si>
  <si>
    <t>East African</t>
  </si>
  <si>
    <t>Anjiajia, Madagascar</t>
  </si>
  <si>
    <t>The General 18.5</t>
  </si>
  <si>
    <t>M</t>
  </si>
  <si>
    <t>The Dead of Winter</t>
  </si>
  <si>
    <t>Northwest of Staritsa, Russia</t>
  </si>
  <si>
    <t>Rogue Series</t>
  </si>
  <si>
    <t>R211</t>
  </si>
  <si>
    <t>Auld Lang Syne</t>
  </si>
  <si>
    <t>Gerimont, France</t>
  </si>
  <si>
    <t>R212</t>
  </si>
  <si>
    <t>On the Road to Andalsnes</t>
  </si>
  <si>
    <t>Norwegian</t>
  </si>
  <si>
    <t>Near Dombass, Norway</t>
  </si>
  <si>
    <t>R213</t>
  </si>
  <si>
    <t>Traverse Right...Fire!</t>
  </si>
  <si>
    <t xml:space="preserve">South of Bialtstok, Russia </t>
  </si>
  <si>
    <t>R214</t>
  </si>
  <si>
    <t>The Front in Flames</t>
  </si>
  <si>
    <t>20 kilometers south of Kharkov, Russia</t>
  </si>
  <si>
    <t>R215</t>
  </si>
  <si>
    <t>Hasty Pudding</t>
  </si>
  <si>
    <t>France</t>
  </si>
  <si>
    <t>R216</t>
  </si>
  <si>
    <t>A Small Town in Germany</t>
  </si>
  <si>
    <t>Freisoythe, Germany</t>
  </si>
  <si>
    <t>R217</t>
  </si>
  <si>
    <t>The Whirlwind</t>
  </si>
  <si>
    <t>Near Aschaffenburg, Germany</t>
  </si>
  <si>
    <t>R218</t>
  </si>
  <si>
    <t>Operation Switch Back</t>
  </si>
  <si>
    <t>Leopold Canal, Holland</t>
  </si>
  <si>
    <t>R219</t>
  </si>
  <si>
    <t>Scheldt Fortress South</t>
  </si>
  <si>
    <t>Fort Frederick-Hendrick, Holland</t>
  </si>
  <si>
    <t>R220</t>
  </si>
  <si>
    <t>Clearing the Breskins Pocket</t>
  </si>
  <si>
    <t>British/Canadian</t>
  </si>
  <si>
    <t>The Scheldt Estuary, Holland</t>
  </si>
  <si>
    <t>R221</t>
  </si>
  <si>
    <t>Vitality I</t>
  </si>
  <si>
    <t>South Beveland, Holland</t>
  </si>
  <si>
    <t>R222</t>
  </si>
  <si>
    <t>Infatuate II</t>
  </si>
  <si>
    <t>Westkapelle, Walcheren Isalnds, Holland</t>
  </si>
  <si>
    <t>R223</t>
  </si>
  <si>
    <t>Night Drop</t>
  </si>
  <si>
    <t>Near Cauquigny, France</t>
  </si>
  <si>
    <t>GI: Anvil of Victory</t>
  </si>
  <si>
    <t>A Belated Christmas</t>
  </si>
  <si>
    <t>Bastogne, Belgium</t>
  </si>
  <si>
    <t>Climax at Nijmegen Bridge</t>
  </si>
  <si>
    <t>American / British</t>
  </si>
  <si>
    <t>Nijmegen, Holland</t>
  </si>
  <si>
    <t>The French Decide to Fight</t>
  </si>
  <si>
    <t>Port-Lyautey, Morocco</t>
  </si>
  <si>
    <t>Weissenhof Crossroads</t>
  </si>
  <si>
    <t>Schnee Eifel Region, Germany</t>
  </si>
  <si>
    <t>Medal of Honor</t>
  </si>
  <si>
    <t>The Factory</t>
  </si>
  <si>
    <t>Aprilia Settlement, Central Italy</t>
  </si>
  <si>
    <t>Sweep for Bordj Toum Bridge</t>
  </si>
  <si>
    <t>Bordj Toum Station, Tunisia</t>
  </si>
  <si>
    <t>The Dornot Watermark</t>
  </si>
  <si>
    <t>Dornot, Germany</t>
  </si>
  <si>
    <t>Swatting at Tigers</t>
  </si>
  <si>
    <t>Biazzo Ridge, Italy</t>
  </si>
  <si>
    <t>Bridgehead on the Rhine</t>
  </si>
  <si>
    <t>Speldrop, Germany</t>
  </si>
  <si>
    <t>Action at Kommerscheidt</t>
  </si>
  <si>
    <t>Kommerscheidt, Germany</t>
  </si>
  <si>
    <t>Prelude to Breakout</t>
  </si>
  <si>
    <t>Near Saint Jean-de-daye, France</t>
  </si>
  <si>
    <t>Hide &amp; Seek</t>
  </si>
  <si>
    <t>Near Saint Come-du-Mont, France</t>
  </si>
  <si>
    <t>Operation Varsity</t>
  </si>
  <si>
    <t>Hamminlen, Germany</t>
  </si>
  <si>
    <t>Encircling the Ruhr</t>
  </si>
  <si>
    <t>The Ruhr, Germany</t>
  </si>
  <si>
    <t>The General 19.5</t>
  </si>
  <si>
    <t>T1</t>
  </si>
  <si>
    <t>First Crisis at Army Group North</t>
  </si>
  <si>
    <t>Northeast of Raseiniai, Lithuania</t>
  </si>
  <si>
    <t>T2</t>
  </si>
  <si>
    <t>Pavlov's House</t>
  </si>
  <si>
    <t>T3</t>
  </si>
  <si>
    <t>Land Leviathans</t>
  </si>
  <si>
    <t>Lipki, Russia</t>
  </si>
  <si>
    <t>T4</t>
  </si>
  <si>
    <t>Soldiers of Destruction</t>
  </si>
  <si>
    <t>Radzymin, Poland</t>
  </si>
  <si>
    <t>The General 19.6</t>
  </si>
  <si>
    <t>N</t>
  </si>
  <si>
    <t>Faugh A Ballagh!</t>
  </si>
  <si>
    <t>Sinagoga, Italy</t>
  </si>
  <si>
    <t>The General 20.2</t>
  </si>
  <si>
    <t>Operation Marston</t>
  </si>
  <si>
    <t>PBr CG</t>
  </si>
  <si>
    <t>Sicily, Italy</t>
  </si>
  <si>
    <t>The General 20.4</t>
  </si>
  <si>
    <t>O</t>
  </si>
  <si>
    <t>Strayer's Strays</t>
  </si>
  <si>
    <t>Hiesville, France</t>
  </si>
  <si>
    <t>Series 300</t>
  </si>
  <si>
    <t>Trial by Combat</t>
  </si>
  <si>
    <t>Elsdorf, Germany</t>
  </si>
  <si>
    <t>The Clearing</t>
  </si>
  <si>
    <t>Hurtgen Forest, Germany</t>
  </si>
  <si>
    <t>Stand Fast</t>
  </si>
  <si>
    <t>Obergeich, Germany</t>
  </si>
  <si>
    <t>Thrust and Parry</t>
  </si>
  <si>
    <t>Pfaffenheck, Germany</t>
  </si>
  <si>
    <t>Riposte</t>
  </si>
  <si>
    <t>The Duel</t>
  </si>
  <si>
    <t>The Rag Tag Circus</t>
  </si>
  <si>
    <t>Barbe on the Elbe. Germany</t>
  </si>
  <si>
    <t>Point D'Appui</t>
  </si>
  <si>
    <t>Bardenberg, Germany</t>
  </si>
  <si>
    <t>Han-Sur-Neid</t>
  </si>
  <si>
    <t>Han-sur-Neid, France</t>
  </si>
  <si>
    <t>The Roer Bridgehead</t>
  </si>
  <si>
    <t>Korrenzeig, Germany</t>
  </si>
  <si>
    <t>The General 21.2</t>
  </si>
  <si>
    <t>P</t>
  </si>
  <si>
    <t>Aachen's Pall</t>
  </si>
  <si>
    <t>Aachen, Germany</t>
  </si>
  <si>
    <t>The General 21.3</t>
  </si>
  <si>
    <t>Q</t>
  </si>
  <si>
    <t>Gambit</t>
  </si>
  <si>
    <t>New Zealand</t>
  </si>
  <si>
    <t>Near Maleme, Crete</t>
  </si>
  <si>
    <t>The General 21.4</t>
  </si>
  <si>
    <t>Operation Hubertus / The Last Bid</t>
  </si>
  <si>
    <t>ASL Annual `89</t>
  </si>
  <si>
    <t>A1</t>
  </si>
  <si>
    <t>On the Borderline</t>
  </si>
  <si>
    <t>Artahuhta, Finland</t>
  </si>
  <si>
    <t>A2</t>
  </si>
  <si>
    <t>Sbeitla Probe</t>
  </si>
  <si>
    <t>Sbeitla, Tunisia</t>
  </si>
  <si>
    <t>A3</t>
  </si>
  <si>
    <t>Regalbuto Ridge</t>
  </si>
  <si>
    <t>Regalbuto, Italy</t>
  </si>
  <si>
    <t>ASL Annual `90</t>
  </si>
  <si>
    <t>A4</t>
  </si>
  <si>
    <t>King's Castle</t>
  </si>
  <si>
    <t>Frenzenberg, Germany</t>
  </si>
  <si>
    <t>A5</t>
  </si>
  <si>
    <t>The Professionals</t>
  </si>
  <si>
    <t>Yugoslavianian</t>
  </si>
  <si>
    <t>Pirot, Yugoslavia</t>
  </si>
  <si>
    <t>A6</t>
  </si>
  <si>
    <t>A Meeting of Patrols</t>
  </si>
  <si>
    <t>Hofen, Belgium</t>
  </si>
  <si>
    <t>A52 Swan Song</t>
  </si>
  <si>
    <t>A64 Chateau de Quesnoy</t>
  </si>
  <si>
    <t>A66 Counterstroke at Stonne</t>
  </si>
  <si>
    <t>A89 First Day of Diadem</t>
  </si>
  <si>
    <t>A94 Last Defense Line</t>
  </si>
  <si>
    <t>A96 In Rommel's Wake</t>
  </si>
  <si>
    <t>G46 Triumph Atop Taraldsvikfjell</t>
  </si>
  <si>
    <t>J35 Siam Sambal</t>
  </si>
  <si>
    <t>J44 Audacity!</t>
  </si>
  <si>
    <t>J45 The Last Roadblock</t>
  </si>
  <si>
    <t>J69 The Army at the Edge of the World</t>
  </si>
  <si>
    <t>J70 Just an Illusion</t>
  </si>
  <si>
    <t>J76 Ultimate Treachery</t>
  </si>
  <si>
    <t>J90 The Time of Humiliations</t>
  </si>
  <si>
    <t>U Chance d'une Affaire</t>
  </si>
  <si>
    <t>U1 The French Decide to Fight</t>
  </si>
  <si>
    <t>U20 Fighting at the World’s Edge</t>
  </si>
  <si>
    <t>U21 The French Perimeter</t>
  </si>
  <si>
    <t>WO2 Failure to Communicate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</si>
</sst>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yyyy"/>
    <numFmt numFmtId="165" formatCode="d-MMM-yyyy"/>
    <numFmt numFmtId="166" formatCode="M/yyyy"/>
  </numFmts>
  <fonts count="17">
    <font>
      <sz val="10.0"/>
      <color rgb="FF000000"/>
      <name val="Arial"/>
    </font>
    <font>
      <sz val="11.0"/>
      <name val="Calibri"/>
    </font>
    <font>
      <sz val="11.0"/>
      <name val="Arial"/>
    </font>
    <font>
      <u/>
      <sz val="11.0"/>
      <color rgb="FF0000FF"/>
      <name val="Calibri"/>
    </font>
    <font>
      <u/>
      <sz val="11.0"/>
      <color rgb="FF0000FF"/>
      <name val="Calibri"/>
    </font>
    <font>
      <u/>
      <sz val="11.0"/>
      <color rgb="FF0000FF"/>
      <name val="Calibri"/>
    </font>
    <font>
      <u/>
      <sz val="11.0"/>
      <name val="Calibri"/>
    </font>
    <font>
      <u/>
      <sz val="11.0"/>
      <color rgb="FF0000FF"/>
      <name val="Arial"/>
    </font>
    <font>
      <u/>
      <sz val="11.0"/>
      <color rgb="FF0000FF"/>
      <name val="Calibri"/>
    </font>
    <font>
      <u/>
      <sz val="11.0"/>
      <color rgb="FF0000FF"/>
      <name val="Arial"/>
    </font>
    <font>
      <u/>
      <sz val="11.0"/>
      <color rgb="FF0000FF"/>
      <name val="Calibri"/>
    </font>
    <font>
      <u/>
      <sz val="11.0"/>
      <name val="Calibri"/>
    </font>
    <font>
      <u/>
      <sz val="11.0"/>
      <color rgb="FF0000FF"/>
      <name val="Arial"/>
    </font>
    <font>
      <u/>
      <sz val="11.0"/>
      <color rgb="FF0000FF"/>
      <name val="Arial"/>
    </font>
    <font>
      <u/>
      <sz val="11.0"/>
      <color rgb="FF0000FF"/>
      <name val="Calibri"/>
    </font>
    <font>
      <u/>
      <sz val="11.0"/>
      <color rgb="FF0000FF"/>
      <name val="Calibri"/>
    </font>
    <font/>
  </fonts>
  <fills count="4">
    <fill>
      <patternFill patternType="none"/>
    </fill>
    <fill>
      <patternFill patternType="lightGray"/>
    </fill>
    <fill>
      <patternFill patternType="solid">
        <fgColor rgb="FFDEEFF3"/>
        <bgColor rgb="FFDEEFF3"/>
      </patternFill>
    </fill>
    <fill>
      <patternFill patternType="solid">
        <fgColor rgb="FFFFF2CC"/>
        <bgColor rgb="FFFFF2CC"/>
      </patternFill>
    </fill>
  </fills>
  <borders count="1">
    <border/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1"/>
    </xf>
    <xf borderId="0" fillId="2" fontId="1" numFmtId="0" xfId="0" applyAlignment="1" applyFill="1" applyFont="1">
      <alignment readingOrder="0" shrinkToFit="0" wrapText="1"/>
    </xf>
    <xf borderId="0" fillId="2" fontId="2" numFmtId="0" xfId="0" applyAlignment="1" applyFont="1">
      <alignment readingOrder="0" shrinkToFit="0" wrapText="1"/>
    </xf>
    <xf borderId="0" fillId="2" fontId="2" numFmtId="0" xfId="0" applyAlignment="1" applyFont="1">
      <alignment horizontal="left" readingOrder="0" shrinkToFit="0" vertical="bottom" wrapText="1"/>
    </xf>
    <xf borderId="0" fillId="3" fontId="2" numFmtId="0" xfId="0" applyAlignment="1" applyFill="1" applyFont="1">
      <alignment horizontal="left" readingOrder="0" shrinkToFit="0" vertical="bottom" wrapText="1"/>
    </xf>
    <xf borderId="0" fillId="3" fontId="1" numFmtId="0" xfId="0" applyAlignment="1" applyFont="1">
      <alignment horizontal="right" readingOrder="0" shrinkToFit="0" vertical="bottom" wrapText="1"/>
    </xf>
    <xf borderId="0" fillId="0" fontId="2" numFmtId="0" xfId="0" applyAlignment="1" applyFont="1">
      <alignment readingOrder="0" shrinkToFit="0" wrapText="1"/>
    </xf>
    <xf borderId="0" fillId="0" fontId="1" numFmtId="0" xfId="0" applyAlignment="1" applyFont="1">
      <alignment horizontal="left" readingOrder="0" shrinkToFit="0" vertical="bottom" wrapText="1"/>
    </xf>
    <xf borderId="0" fillId="0" fontId="1" numFmtId="0" xfId="0" applyAlignment="1" applyFont="1">
      <alignment readingOrder="0" shrinkToFit="0" wrapText="1"/>
    </xf>
    <xf borderId="0" fillId="2" fontId="1" numFmtId="164" xfId="0" applyAlignment="1" applyFont="1" applyNumberFormat="1">
      <alignment readingOrder="0" shrinkToFit="0" vertical="bottom" wrapText="0"/>
    </xf>
    <xf borderId="0" fillId="2" fontId="1" numFmtId="0" xfId="0" applyAlignment="1" applyFont="1">
      <alignment readingOrder="0" shrinkToFit="0" vertical="bottom" wrapText="0"/>
    </xf>
    <xf borderId="0" fillId="2" fontId="1" numFmtId="0" xfId="0" applyAlignment="1" applyFont="1">
      <alignment horizontal="right" readingOrder="0" shrinkToFit="0" vertical="bottom" wrapText="0"/>
    </xf>
    <xf borderId="0" fillId="3" fontId="3" numFmtId="0" xfId="0" applyAlignment="1" applyFont="1">
      <alignment readingOrder="0" shrinkToFit="0" vertical="bottom" wrapText="0"/>
    </xf>
    <xf borderId="0" fillId="3" fontId="4" numFmtId="0" xfId="0" applyAlignment="1" applyFont="1">
      <alignment horizontal="right" shrinkToFit="0" vertical="bottom" wrapText="0"/>
    </xf>
    <xf borderId="0" fillId="0" fontId="5" numFmtId="0" xfId="0" applyAlignment="1" applyFont="1">
      <alignment shrinkToFit="0" wrapText="1"/>
    </xf>
    <xf borderId="0" fillId="0" fontId="6" numFmtId="0" xfId="0" applyAlignment="1" applyFont="1">
      <alignment shrinkToFit="0" wrapText="1"/>
    </xf>
    <xf borderId="0" fillId="0" fontId="1" numFmtId="0" xfId="0" applyAlignment="1" applyFont="1">
      <alignment readingOrder="0" shrinkToFit="0" vertical="bottom" wrapText="0"/>
    </xf>
    <xf borderId="0" fillId="0" fontId="1" numFmtId="165" xfId="0" applyAlignment="1" applyFont="1" applyNumberFormat="1">
      <alignment readingOrder="0" shrinkToFit="0" vertical="bottom" wrapText="0"/>
    </xf>
    <xf borderId="0" fillId="0" fontId="7" numFmtId="0" xfId="0" applyAlignment="1" applyFont="1">
      <alignment readingOrder="0" shrinkToFit="0" vertical="bottom" wrapText="0"/>
    </xf>
    <xf borderId="0" fillId="3" fontId="8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3" fontId="9" numFmtId="0" xfId="0" applyAlignment="1" applyFont="1">
      <alignment horizontal="right" readingOrder="0" shrinkToFit="0" vertical="bottom" wrapText="0"/>
    </xf>
    <xf borderId="0" fillId="2" fontId="1" numFmtId="166" xfId="0" applyAlignment="1" applyFont="1" applyNumberFormat="1">
      <alignment readingOrder="0" shrinkToFit="0" vertical="bottom" wrapText="0"/>
    </xf>
    <xf borderId="0" fillId="0" fontId="2" numFmtId="0" xfId="0" applyAlignment="1" applyFont="1">
      <alignment readingOrder="0" shrinkToFit="0" vertical="bottom" wrapText="0"/>
    </xf>
    <xf borderId="0" fillId="0" fontId="10" numFmtId="0" xfId="0" applyAlignment="1" applyFont="1">
      <alignment shrinkToFit="0" vertical="bottom" wrapText="0"/>
    </xf>
    <xf borderId="0" fillId="0" fontId="11" numFmtId="0" xfId="0" applyAlignment="1" applyFont="1">
      <alignment shrinkToFit="0" vertical="bottom" wrapText="0"/>
    </xf>
    <xf borderId="0" fillId="0" fontId="12" numFmtId="0" xfId="0" applyAlignment="1" applyFont="1">
      <alignment readingOrder="0" shrinkToFit="0" wrapText="1"/>
    </xf>
    <xf borderId="0" fillId="3" fontId="13" numFmtId="0" xfId="0" applyAlignment="1" applyFont="1">
      <alignment readingOrder="0" shrinkToFit="0" vertical="bottom" wrapText="0"/>
    </xf>
    <xf borderId="0" fillId="3" fontId="14" numFmtId="0" xfId="0" applyAlignment="1" applyFont="1">
      <alignment horizontal="right" readingOrder="0" shrinkToFit="0" vertical="bottom" wrapText="0"/>
    </xf>
    <xf borderId="0" fillId="3" fontId="1" numFmtId="0" xfId="0" applyAlignment="1" applyFont="1">
      <alignment horizontal="right" shrinkToFit="0" vertical="bottom" wrapText="0"/>
    </xf>
    <xf borderId="0" fillId="0" fontId="1" numFmtId="0" xfId="0" applyAlignment="1" applyFont="1">
      <alignment shrinkToFit="0" wrapText="1"/>
    </xf>
    <xf borderId="0" fillId="0" fontId="2" numFmtId="165" xfId="0" applyAlignment="1" applyFont="1" applyNumberFormat="1">
      <alignment readingOrder="0" shrinkToFit="0" vertical="bottom" wrapText="0"/>
    </xf>
    <xf borderId="0" fillId="3" fontId="15" numFmtId="0" xfId="0" applyAlignment="1" applyFont="1">
      <alignment horizontal="right" shrinkToFit="0" vertical="bottom" wrapText="0"/>
    </xf>
    <xf borderId="0" fillId="0" fontId="16" numFmtId="0" xfId="0" applyAlignment="1" applyFont="1">
      <alignment readingOrder="0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5.13" defaultRowHeight="15.75"/>
  <cols>
    <col customWidth="1" min="1" max="1" width="9.38"/>
    <col customWidth="1" min="2" max="2" width="16.88"/>
    <col customWidth="1" min="3" max="3" width="6.75"/>
    <col customWidth="1" min="4" max="4" width="28.13"/>
    <col customWidth="1" min="5" max="5" width="21.88"/>
    <col customWidth="1" min="6" max="6" width="7.75"/>
    <col customWidth="1" min="7" max="7" width="19.63"/>
    <col customWidth="1" min="8" max="8" width="14.38"/>
    <col customWidth="1" min="9" max="9" width="20.75"/>
    <col customWidth="1" min="10" max="10" width="15.0"/>
    <col customWidth="1" min="11" max="11" width="12.25"/>
    <col customWidth="1" min="12" max="12" width="36.38"/>
    <col customWidth="1" min="13" max="13" width="12.0"/>
  </cols>
  <sheetData>
    <row r="1" ht="30.0" customHeight="1">
      <c r="A1" s="1" t="s">
        <v>0</v>
      </c>
      <c r="B1" s="2" t="s">
        <v>1</v>
      </c>
      <c r="C1" s="3" t="s">
        <v>2</v>
      </c>
      <c r="D1" s="2" t="s">
        <v>3</v>
      </c>
      <c r="E1" s="4" t="s">
        <v>4</v>
      </c>
      <c r="F1" s="5" t="s">
        <v>5</v>
      </c>
      <c r="G1" s="6" t="s">
        <v>6</v>
      </c>
      <c r="H1" s="6" t="s">
        <v>7</v>
      </c>
      <c r="I1" s="7" t="s">
        <v>8</v>
      </c>
      <c r="J1" s="7" t="s">
        <v>9</v>
      </c>
      <c r="K1" s="8" t="s">
        <v>10</v>
      </c>
      <c r="L1" s="8" t="s">
        <v>11</v>
      </c>
      <c r="M1" s="6" t="s">
        <v>12</v>
      </c>
    </row>
    <row r="2" ht="15.0" customHeight="1">
      <c r="A2" s="9">
        <v>28126.0</v>
      </c>
      <c r="B2" s="10" t="s">
        <v>13</v>
      </c>
      <c r="C2" s="11">
        <v>1.0</v>
      </c>
      <c r="D2" s="10" t="s">
        <v>14</v>
      </c>
      <c r="E2" s="12" t="str">
        <f t="shared" ref="E2:E7" si="1">HYPERLINK("http://www.aslscenarioarchive.com/viewPub.php?id=749","Classic ASL")</f>
        <v>Classic ASL</v>
      </c>
      <c r="F2" s="13" t="str">
        <f>HYPERLINK("http://www.aslscenarioarchive.com/scenario.php?id=56508","A")</f>
        <v>A</v>
      </c>
      <c r="G2" s="14" t="str">
        <f>HYPERLINK("http://www.aslscenarioarchive.com/scenario.php?id=56553","A (The General 22.6)")</f>
        <v>A (The General 22.6)</v>
      </c>
      <c r="H2" s="15"/>
      <c r="I2" s="16" t="s">
        <v>15</v>
      </c>
      <c r="J2" s="16" t="s">
        <v>16</v>
      </c>
      <c r="K2" s="17">
        <v>15620.0</v>
      </c>
      <c r="L2" s="16" t="s">
        <v>17</v>
      </c>
      <c r="M2" s="18" t="str">
        <f t="shared" ref="M2:M9" si="2">HYPERLINK("http://www.multimanpublishing.com/Support/ASLASLSK/ASLOfficialDownloads/tabid/109/Default.aspx","Official DL")</f>
        <v>Official DL</v>
      </c>
    </row>
    <row r="3" ht="15.0" customHeight="1">
      <c r="A3" s="9">
        <v>28126.0</v>
      </c>
      <c r="B3" s="10" t="s">
        <v>13</v>
      </c>
      <c r="C3" s="11">
        <v>2.0</v>
      </c>
      <c r="D3" s="10" t="s">
        <v>18</v>
      </c>
      <c r="E3" s="12" t="str">
        <f t="shared" si="1"/>
        <v>Classic ASL</v>
      </c>
      <c r="F3" s="13" t="str">
        <f>HYPERLINK("http://www.aslscenarioarchive.com/scenario.php?id=56509","B")</f>
        <v>B</v>
      </c>
      <c r="G3" s="14" t="str">
        <f>HYPERLINK("http://www.aslscenarioarchive.com/scenario.php?id=56554","B (The General 22.6)")</f>
        <v>B (The General 22.6)</v>
      </c>
      <c r="H3" s="15"/>
      <c r="I3" s="16" t="s">
        <v>16</v>
      </c>
      <c r="J3" s="16" t="s">
        <v>15</v>
      </c>
      <c r="K3" s="17">
        <v>15620.0</v>
      </c>
      <c r="L3" s="16" t="s">
        <v>17</v>
      </c>
      <c r="M3" s="18" t="str">
        <f t="shared" si="2"/>
        <v>Official DL</v>
      </c>
    </row>
    <row r="4" ht="15.0" customHeight="1">
      <c r="A4" s="9">
        <v>28126.0</v>
      </c>
      <c r="B4" s="10" t="s">
        <v>13</v>
      </c>
      <c r="C4" s="11">
        <v>3.0</v>
      </c>
      <c r="D4" s="10" t="s">
        <v>19</v>
      </c>
      <c r="E4" s="12" t="str">
        <f t="shared" si="1"/>
        <v>Classic ASL</v>
      </c>
      <c r="F4" s="13" t="str">
        <f>HYPERLINK("http://www.aslscenarioarchive.com/scenario.php?id=56510","C")</f>
        <v>C</v>
      </c>
      <c r="G4" s="14" t="str">
        <f>HYPERLINK("http://www.aslscenarioarchive.com/scenario.php?id=56555","C (The General 22.6)")</f>
        <v>C (The General 22.6)</v>
      </c>
      <c r="H4" s="15"/>
      <c r="I4" s="16" t="s">
        <v>16</v>
      </c>
      <c r="J4" s="16" t="s">
        <v>15</v>
      </c>
      <c r="K4" s="17">
        <v>15620.0</v>
      </c>
      <c r="L4" s="16" t="s">
        <v>17</v>
      </c>
      <c r="M4" s="18" t="str">
        <f t="shared" si="2"/>
        <v>Official DL</v>
      </c>
    </row>
    <row r="5" ht="15.0" customHeight="1">
      <c r="A5" s="9">
        <v>28126.0</v>
      </c>
      <c r="B5" s="10" t="s">
        <v>13</v>
      </c>
      <c r="C5" s="11">
        <v>4.0</v>
      </c>
      <c r="D5" s="10" t="s">
        <v>20</v>
      </c>
      <c r="E5" s="12" t="str">
        <f t="shared" si="1"/>
        <v>Classic ASL</v>
      </c>
      <c r="F5" s="13" t="str">
        <f>HYPERLINK("http://www.aslscenarioarchive.com/scenario.php?id=56511","D")</f>
        <v>D</v>
      </c>
      <c r="G5" s="14" t="str">
        <f>HYPERLINK("http://www.aslscenarioarchive.com/scenario.php?id=56556","D (The General 23.2)")</f>
        <v>D (The General 23.2)</v>
      </c>
      <c r="H5" s="15"/>
      <c r="I5" s="16" t="s">
        <v>15</v>
      </c>
      <c r="J5" s="16" t="s">
        <v>16</v>
      </c>
      <c r="K5" s="17">
        <v>15294.0</v>
      </c>
      <c r="L5" s="16" t="s">
        <v>21</v>
      </c>
      <c r="M5" s="18" t="str">
        <f t="shared" si="2"/>
        <v>Official DL</v>
      </c>
    </row>
    <row r="6" ht="15.0" customHeight="1">
      <c r="A6" s="9">
        <v>28126.0</v>
      </c>
      <c r="B6" s="10" t="s">
        <v>13</v>
      </c>
      <c r="C6" s="11">
        <v>5.0</v>
      </c>
      <c r="D6" s="10" t="s">
        <v>22</v>
      </c>
      <c r="E6" s="12" t="str">
        <f t="shared" si="1"/>
        <v>Classic ASL</v>
      </c>
      <c r="F6" s="13" t="str">
        <f>HYPERLINK("http://www.aslscenarioarchive.com/scenario.php?id=56512","E")</f>
        <v>E</v>
      </c>
      <c r="G6" s="14" t="str">
        <f>HYPERLINK("http://www.aslscenarioarchive.com/scenario.php?id=56557","E (The General 23.2)")</f>
        <v>E (The General 23.2)</v>
      </c>
      <c r="H6" s="15"/>
      <c r="I6" s="16" t="s">
        <v>15</v>
      </c>
      <c r="J6" s="16" t="s">
        <v>16</v>
      </c>
      <c r="K6" s="17">
        <v>16254.0</v>
      </c>
      <c r="L6" s="16" t="s">
        <v>23</v>
      </c>
      <c r="M6" s="18" t="str">
        <f t="shared" si="2"/>
        <v>Official DL</v>
      </c>
    </row>
    <row r="7" ht="15.0" customHeight="1">
      <c r="A7" s="9">
        <v>28126.0</v>
      </c>
      <c r="B7" s="10" t="s">
        <v>13</v>
      </c>
      <c r="C7" s="11">
        <v>6.0</v>
      </c>
      <c r="D7" s="10" t="s">
        <v>24</v>
      </c>
      <c r="E7" s="12" t="str">
        <f t="shared" si="1"/>
        <v>Classic ASL</v>
      </c>
      <c r="F7" s="13" t="str">
        <f>HYPERLINK("http://www.aslscenarioarchive.com/scenario.php?id=56515","H")</f>
        <v>H</v>
      </c>
      <c r="G7" s="14" t="str">
        <f>HYPERLINK("http://www.aslscenarioarchive.com/scenario.php?id=56560","H (The General 24.1)")</f>
        <v>H (The General 24.1)</v>
      </c>
      <c r="H7" s="15"/>
      <c r="I7" s="16" t="s">
        <v>16</v>
      </c>
      <c r="J7" s="16" t="s">
        <v>15</v>
      </c>
      <c r="K7" s="17">
        <v>15718.0</v>
      </c>
      <c r="L7" s="16" t="s">
        <v>25</v>
      </c>
      <c r="M7" s="18" t="str">
        <f t="shared" si="2"/>
        <v>Official DL</v>
      </c>
    </row>
    <row r="8" ht="15.0" customHeight="1">
      <c r="A8" s="9">
        <v>28126.0</v>
      </c>
      <c r="B8" s="10" t="s">
        <v>13</v>
      </c>
      <c r="C8" s="11">
        <v>7.0</v>
      </c>
      <c r="D8" s="10" t="s">
        <v>26</v>
      </c>
      <c r="E8" s="19" t="str">
        <f>HYPERLINK("http://www.aslscenarioarchive.com/viewPub.php?id=1870","Yanks 2nd Ed")</f>
        <v>Yanks 2nd Ed</v>
      </c>
      <c r="F8" s="13" t="str">
        <f>HYPERLINK("http://www.aslscenarioarchive.com/scenario.php?id=62802","191")</f>
        <v>191</v>
      </c>
      <c r="G8" s="14" t="str">
        <f>HYPERLINK("http://www.aslscenarioarchive.com/scenario.php?id=56561","I (The General 24.4)")</f>
        <v>I (The General 24.4)</v>
      </c>
      <c r="H8" s="14" t="str">
        <f>HYPERLINK("http://www.aslscenarioarchive.com/scenario.php?id=56516","I (Classic ASL)")</f>
        <v>I (Classic ASL)</v>
      </c>
      <c r="I8" s="16" t="s">
        <v>27</v>
      </c>
      <c r="J8" s="16" t="s">
        <v>15</v>
      </c>
      <c r="K8" s="17">
        <v>16422.0</v>
      </c>
      <c r="L8" s="16" t="s">
        <v>28</v>
      </c>
      <c r="M8" s="18" t="str">
        <f t="shared" si="2"/>
        <v>Official DL</v>
      </c>
    </row>
    <row r="9" ht="15.0" customHeight="1">
      <c r="A9" s="9">
        <v>28126.0</v>
      </c>
      <c r="B9" s="10" t="s">
        <v>13</v>
      </c>
      <c r="C9" s="11">
        <v>8.0</v>
      </c>
      <c r="D9" s="10" t="s">
        <v>29</v>
      </c>
      <c r="E9" s="12" t="str">
        <f>HYPERLINK("http://www.aslscenarioarchive.com/viewPub.php?id=749","Classic ASL")</f>
        <v>Classic ASL</v>
      </c>
      <c r="F9" s="13" t="str">
        <f>HYPERLINK("http://www.aslscenarioarchive.com/scenario.php?id=56517","J")</f>
        <v>J</v>
      </c>
      <c r="G9" s="14" t="str">
        <f>HYPERLINK("http://www.aslscenarioarchive.com/scenario.php?id=56562","J (The General 24.4)")</f>
        <v>J (The General 24.4)</v>
      </c>
      <c r="H9" s="15"/>
      <c r="I9" s="16" t="s">
        <v>27</v>
      </c>
      <c r="J9" s="16" t="s">
        <v>15</v>
      </c>
      <c r="K9" s="17">
        <v>16451.0</v>
      </c>
      <c r="L9" s="16" t="s">
        <v>30</v>
      </c>
      <c r="M9" s="18" t="str">
        <f t="shared" si="2"/>
        <v>Official DL</v>
      </c>
    </row>
    <row r="10" ht="15.0" customHeight="1">
      <c r="A10" s="9">
        <v>28126.0</v>
      </c>
      <c r="B10" s="10" t="s">
        <v>13</v>
      </c>
      <c r="C10" s="11">
        <v>9.0</v>
      </c>
      <c r="D10" s="10" t="s">
        <v>31</v>
      </c>
      <c r="E10" s="12" t="str">
        <f>HYPERLINK("http://www.aslscenarioarchive.com/scenario.php?id=56564","The General 25.2")</f>
        <v>The General 25.2</v>
      </c>
      <c r="F10" s="13" t="str">
        <f>HYPERLINK("http://www.aslscenarioarchive.com/scenario.php?id=56563","K")</f>
        <v>K</v>
      </c>
      <c r="G10" s="20"/>
      <c r="H10" s="20"/>
      <c r="I10" s="16" t="s">
        <v>15</v>
      </c>
      <c r="J10" s="16" t="s">
        <v>27</v>
      </c>
      <c r="K10" s="17">
        <v>16307.0</v>
      </c>
      <c r="L10" s="16" t="s">
        <v>32</v>
      </c>
      <c r="M10" s="16"/>
    </row>
    <row r="11" ht="15.0" customHeight="1">
      <c r="A11" s="9">
        <v>28126.0</v>
      </c>
      <c r="B11" s="10" t="s">
        <v>13</v>
      </c>
      <c r="C11" s="11">
        <v>10.0</v>
      </c>
      <c r="D11" s="10" t="s">
        <v>33</v>
      </c>
      <c r="E11" s="19" t="str">
        <f>HYPERLINK("http://www.aslscenarioarchive.com/viewPub.php?id=1870","Yanks 2nd Ed")</f>
        <v>Yanks 2nd Ed</v>
      </c>
      <c r="F11" s="21" t="str">
        <f>HYPERLINK("http://www.aslscenarioarchive.com/scenario.php?id=62813","202")</f>
        <v>202</v>
      </c>
      <c r="G11" s="14" t="str">
        <f>HYPERLINK("http://www.aslscenarioarchive.com/scenario.php?id=56564","L (The General 25.2)")</f>
        <v>L (The General 25.2)</v>
      </c>
      <c r="H11" s="20"/>
      <c r="I11" s="16" t="s">
        <v>15</v>
      </c>
      <c r="J11" s="16" t="s">
        <v>27</v>
      </c>
      <c r="K11" s="17">
        <v>16533.0</v>
      </c>
      <c r="L11" s="16" t="s">
        <v>34</v>
      </c>
      <c r="M11" s="16"/>
    </row>
    <row r="12" ht="15.0" customHeight="1">
      <c r="A12" s="9">
        <v>28126.0</v>
      </c>
      <c r="B12" s="10" t="s">
        <v>13</v>
      </c>
      <c r="C12" s="11">
        <v>11.0</v>
      </c>
      <c r="D12" s="10" t="s">
        <v>35</v>
      </c>
      <c r="E12" s="12" t="str">
        <f t="shared" ref="E12:E13" si="3">HYPERLINK("http://www.aslscenarioarchive.com/scenario.php?id=56567","The General 26.1")</f>
        <v>The General 26.1</v>
      </c>
      <c r="F12" s="13" t="str">
        <f>HYPERLINK("http://www.aslscenarioarchive.com/scenario.php?id=56567","O")</f>
        <v>O</v>
      </c>
      <c r="G12" s="20"/>
      <c r="H12" s="20"/>
      <c r="I12" s="16" t="s">
        <v>15</v>
      </c>
      <c r="J12" s="16" t="s">
        <v>27</v>
      </c>
      <c r="K12" s="17">
        <v>16520.0</v>
      </c>
      <c r="L12" s="16" t="s">
        <v>36</v>
      </c>
      <c r="M12" s="16"/>
    </row>
    <row r="13" ht="15.0" customHeight="1">
      <c r="A13" s="9">
        <v>28126.0</v>
      </c>
      <c r="B13" s="10" t="s">
        <v>13</v>
      </c>
      <c r="C13" s="11">
        <v>12.0</v>
      </c>
      <c r="D13" s="10" t="s">
        <v>37</v>
      </c>
      <c r="E13" s="12" t="str">
        <f t="shared" si="3"/>
        <v>The General 26.1</v>
      </c>
      <c r="F13" s="13" t="str">
        <f>HYPERLINK("http://www.aslscenarioarchive.com/scenario.php?id=56568","P")</f>
        <v>P</v>
      </c>
      <c r="G13" s="20"/>
      <c r="H13" s="20"/>
      <c r="I13" s="16" t="s">
        <v>27</v>
      </c>
      <c r="J13" s="16" t="s">
        <v>15</v>
      </c>
      <c r="K13" s="17">
        <v>16423.0</v>
      </c>
      <c r="L13" s="16" t="s">
        <v>38</v>
      </c>
      <c r="M13" s="16"/>
    </row>
    <row r="14" ht="15.0" customHeight="1">
      <c r="A14" s="9">
        <v>28491.0</v>
      </c>
      <c r="B14" s="10" t="s">
        <v>39</v>
      </c>
      <c r="C14" s="11">
        <v>13.0</v>
      </c>
      <c r="D14" s="10" t="s">
        <v>40</v>
      </c>
      <c r="E14" s="12" t="str">
        <f>HYPERLINK("http://www.aslscenarioarchive.com/viewPub.php?id=743","ASL Journal # 2")</f>
        <v>ASL Journal # 2</v>
      </c>
      <c r="F14" s="13" t="str">
        <f>HYPERLINK("http://www.aslscenarioarchive.com/scenario.php?id=56427","J29")</f>
        <v>J29</v>
      </c>
      <c r="G14" s="20"/>
      <c r="H14" s="20"/>
      <c r="I14" s="16" t="s">
        <v>41</v>
      </c>
      <c r="J14" s="16" t="s">
        <v>16</v>
      </c>
      <c r="K14" s="17">
        <v>15191.0</v>
      </c>
      <c r="L14" s="16" t="s">
        <v>42</v>
      </c>
      <c r="M14" s="16"/>
    </row>
    <row r="15" ht="15.0" customHeight="1">
      <c r="A15" s="9">
        <v>28491.0</v>
      </c>
      <c r="B15" s="10" t="s">
        <v>39</v>
      </c>
      <c r="C15" s="11">
        <v>14.0</v>
      </c>
      <c r="D15" s="10" t="s">
        <v>43</v>
      </c>
      <c r="E15" s="12" t="str">
        <f t="shared" ref="E15:E16" si="4">HYPERLINK("http://www.aslscenarioarchive.com/viewPub.php?id=749","Classic ASL")</f>
        <v>Classic ASL</v>
      </c>
      <c r="F15" s="13" t="str">
        <f>HYPERLINK("http://www.aslscenarioarchive.com/scenario.php?id=56513","F")</f>
        <v>F</v>
      </c>
      <c r="G15" s="14" t="str">
        <f>HYPERLINK("http://www.aslscenarioarchive.com/scenario.php?id=56558","F (The General 23.5)")</f>
        <v>F (The General 23.5)</v>
      </c>
      <c r="H15" s="15"/>
      <c r="I15" s="16" t="s">
        <v>15</v>
      </c>
      <c r="J15" s="16" t="s">
        <v>16</v>
      </c>
      <c r="K15" s="17">
        <v>16052.0</v>
      </c>
      <c r="L15" s="16" t="s">
        <v>44</v>
      </c>
      <c r="M15" s="18" t="str">
        <f t="shared" ref="M15:M16" si="5">HYPERLINK("http://www.multimanpublishing.com/Support/ASLASLSK/ASLOfficialDownloads/tabid/109/Default.aspx","Official DL")</f>
        <v>Official DL</v>
      </c>
    </row>
    <row r="16" ht="15.0" customHeight="1">
      <c r="A16" s="9">
        <v>28491.0</v>
      </c>
      <c r="B16" s="10" t="s">
        <v>39</v>
      </c>
      <c r="C16" s="11">
        <v>15.0</v>
      </c>
      <c r="D16" s="10" t="s">
        <v>45</v>
      </c>
      <c r="E16" s="12" t="str">
        <f t="shared" si="4"/>
        <v>Classic ASL</v>
      </c>
      <c r="F16" s="13" t="str">
        <f>HYPERLINK("http://www.aslscenarioarchive.com/scenario.php?id=56514","G")</f>
        <v>G</v>
      </c>
      <c r="G16" s="14" t="str">
        <f>HYPERLINK("http://www.aslscenarioarchive.com/scenario.php?id=56559","G (The General 23.5)")</f>
        <v>G (The General 23.5)</v>
      </c>
      <c r="H16" s="15"/>
      <c r="I16" s="16" t="s">
        <v>16</v>
      </c>
      <c r="J16" s="16" t="s">
        <v>15</v>
      </c>
      <c r="K16" s="17">
        <v>16168.0</v>
      </c>
      <c r="L16" s="16" t="s">
        <v>46</v>
      </c>
      <c r="M16" s="18" t="str">
        <f t="shared" si="5"/>
        <v>Official DL</v>
      </c>
    </row>
    <row r="17" ht="15.0" customHeight="1">
      <c r="A17" s="9">
        <v>28491.0</v>
      </c>
      <c r="B17" s="10" t="s">
        <v>39</v>
      </c>
      <c r="C17" s="11">
        <v>16.0</v>
      </c>
      <c r="D17" s="10" t="s">
        <v>47</v>
      </c>
      <c r="E17" s="12" t="str">
        <f>HYPERLINK("http://www.aslscenarioarchive.com/viewPub.php?id=1541","Turning the Tide")</f>
        <v>Turning the Tide</v>
      </c>
      <c r="F17" s="13" t="str">
        <f>HYPERLINK("http://www.aslscenarioarchive.com/scenario.php?id=60420","U28")</f>
        <v>U28</v>
      </c>
      <c r="G17" s="20"/>
      <c r="H17" s="20"/>
      <c r="I17" s="16" t="s">
        <v>16</v>
      </c>
      <c r="J17" s="16" t="s">
        <v>15</v>
      </c>
      <c r="K17" s="17">
        <v>15683.0</v>
      </c>
      <c r="L17" s="16" t="s">
        <v>48</v>
      </c>
      <c r="M17" s="16"/>
    </row>
    <row r="18" ht="15.0" customHeight="1">
      <c r="A18" s="9">
        <v>28491.0</v>
      </c>
      <c r="B18" s="10" t="s">
        <v>39</v>
      </c>
      <c r="C18" s="11">
        <v>17.0</v>
      </c>
      <c r="D18" s="10" t="s">
        <v>49</v>
      </c>
      <c r="E18" s="12" t="str">
        <f t="shared" ref="E18:E19" si="6">HYPERLINK("http://www.aslscenarioarchive.com/viewPub.php?id=703","Beyond Valor 3rd Ed")</f>
        <v>Beyond Valor 3rd Ed</v>
      </c>
      <c r="F18" s="13">
        <f>HYPERLINK("http://www.aslscenarioarchive.com/scenario.php?id=56095",130)</f>
        <v>130</v>
      </c>
      <c r="G18" s="14" t="str">
        <f>HYPERLINK("http://www.aslscenarioarchive.com/scenario.php?id=56363","A106 (ASL Annual `97)")</f>
        <v>A106 (ASL Annual `97)</v>
      </c>
      <c r="H18" s="15"/>
      <c r="I18" s="16" t="s">
        <v>15</v>
      </c>
      <c r="J18" s="16" t="s">
        <v>16</v>
      </c>
      <c r="K18" s="17">
        <v>15218.0</v>
      </c>
      <c r="L18" s="16" t="s">
        <v>50</v>
      </c>
      <c r="M18" s="16"/>
    </row>
    <row r="19" ht="15.0" customHeight="1">
      <c r="A19" s="9">
        <v>28491.0</v>
      </c>
      <c r="B19" s="10" t="s">
        <v>39</v>
      </c>
      <c r="C19" s="11">
        <v>18.0</v>
      </c>
      <c r="D19" s="10" t="s">
        <v>51</v>
      </c>
      <c r="E19" s="12" t="str">
        <f t="shared" si="6"/>
        <v>Beyond Valor 3rd Ed</v>
      </c>
      <c r="F19" s="13">
        <f>HYPERLINK("http://www.aslscenarioarchive.com/scenario.php?id=56093",128)</f>
        <v>128</v>
      </c>
      <c r="G19" s="14" t="str">
        <f>HYPERLINK("http://www.aslscenarioarchive.com/scenario.php?id=56575","W (The General 32.3)")</f>
        <v>W (The General 32.3)</v>
      </c>
      <c r="H19" s="15"/>
      <c r="I19" s="16" t="s">
        <v>15</v>
      </c>
      <c r="J19" s="16" t="s">
        <v>16</v>
      </c>
      <c r="K19" s="17">
        <v>15176.0</v>
      </c>
      <c r="L19" s="16" t="s">
        <v>44</v>
      </c>
      <c r="M19" s="16"/>
    </row>
    <row r="20" ht="15.0" customHeight="1">
      <c r="A20" s="9">
        <v>28491.0</v>
      </c>
      <c r="B20" s="10" t="s">
        <v>39</v>
      </c>
      <c r="C20" s="11">
        <v>19.0</v>
      </c>
      <c r="D20" s="10" t="s">
        <v>52</v>
      </c>
      <c r="E20" s="12" t="str">
        <f t="shared" ref="E20:E21" si="7">HYPERLINK("http://www.aslscenarioarchive.com/viewPub.php?id=1541","Turning the Tide")</f>
        <v>Turning the Tide</v>
      </c>
      <c r="F20" s="13" t="str">
        <f>HYPERLINK("http://www.aslscenarioarchive.com/scenario.php?id=60419","U27")</f>
        <v>U27</v>
      </c>
      <c r="G20" s="20"/>
      <c r="H20" s="20"/>
      <c r="I20" s="16" t="s">
        <v>16</v>
      </c>
      <c r="J20" s="16" t="s">
        <v>15</v>
      </c>
      <c r="K20" s="17">
        <v>15389.0</v>
      </c>
      <c r="L20" s="16" t="s">
        <v>53</v>
      </c>
      <c r="M20" s="16"/>
    </row>
    <row r="21" ht="15.0" customHeight="1">
      <c r="A21" s="9">
        <v>28491.0</v>
      </c>
      <c r="B21" s="10" t="s">
        <v>39</v>
      </c>
      <c r="C21" s="11">
        <v>20.0</v>
      </c>
      <c r="D21" s="10" t="s">
        <v>54</v>
      </c>
      <c r="E21" s="12" t="str">
        <f t="shared" si="7"/>
        <v>Turning the Tide</v>
      </c>
      <c r="F21" s="13" t="str">
        <f>HYPERLINK("http://www.aslscenarioarchive.com/scenario.php?id=60417","U25")</f>
        <v>U25</v>
      </c>
      <c r="G21" s="20"/>
      <c r="H21" s="20"/>
      <c r="I21" s="16" t="s">
        <v>15</v>
      </c>
      <c r="J21" s="16" t="s">
        <v>16</v>
      </c>
      <c r="K21" s="17">
        <v>15159.0</v>
      </c>
      <c r="L21" s="16" t="s">
        <v>55</v>
      </c>
      <c r="M21" s="16"/>
    </row>
    <row r="22" ht="15.0" customHeight="1">
      <c r="A22" s="22">
        <v>28915.0</v>
      </c>
      <c r="B22" s="10" t="s">
        <v>56</v>
      </c>
      <c r="C22" s="11" t="s">
        <v>57</v>
      </c>
      <c r="D22" s="10" t="s">
        <v>58</v>
      </c>
      <c r="E22" s="12" t="str">
        <f>HYPERLINK("http://www.aslscenarioarchive.com/viewPub.php?id=762","The General 28.3")</f>
        <v>The General 28.3</v>
      </c>
      <c r="F22" s="13" t="str">
        <f>HYPERLINK("http://www.aslscenarioarchive.com/scenario.php?id=56570","R")</f>
        <v>R</v>
      </c>
      <c r="G22" s="20"/>
      <c r="H22" s="20"/>
      <c r="I22" s="16" t="s">
        <v>15</v>
      </c>
      <c r="J22" s="16" t="s">
        <v>16</v>
      </c>
      <c r="K22" s="17">
        <v>15312.0</v>
      </c>
      <c r="L22" s="16" t="s">
        <v>59</v>
      </c>
      <c r="M22" s="16"/>
    </row>
    <row r="23" ht="15.0" customHeight="1">
      <c r="A23" s="22">
        <v>28915.0</v>
      </c>
      <c r="B23" s="10" t="s">
        <v>56</v>
      </c>
      <c r="C23" s="11" t="s">
        <v>60</v>
      </c>
      <c r="D23" s="10" t="s">
        <v>61</v>
      </c>
      <c r="E23" s="12" t="str">
        <f>HYPERLINK("http://www.aslscenarioarchive.com/viewPub.php?id=703","Beyond Valor 3rd Ed")</f>
        <v>Beyond Valor 3rd Ed</v>
      </c>
      <c r="F23" s="13">
        <f>HYPERLINK("http://www.aslscenarioarchive.com/scenario.php?id=56097",132)</f>
        <v>132</v>
      </c>
      <c r="G23" s="14" t="str">
        <f>HYPERLINK("http://www.aslscenarioarchive.com/scenario.php?id=56628","T7 (The General 27.3)")</f>
        <v>T7 (The General 27.3)</v>
      </c>
      <c r="H23" s="15"/>
      <c r="I23" s="16" t="s">
        <v>16</v>
      </c>
      <c r="J23" s="16" t="s">
        <v>15</v>
      </c>
      <c r="K23" s="17">
        <v>15896.0</v>
      </c>
      <c r="L23" s="16" t="s">
        <v>62</v>
      </c>
      <c r="M23" s="16"/>
    </row>
    <row r="24" ht="15.0" customHeight="1">
      <c r="A24" s="22">
        <v>28915.0</v>
      </c>
      <c r="B24" s="10" t="s">
        <v>56</v>
      </c>
      <c r="C24" s="11" t="s">
        <v>63</v>
      </c>
      <c r="D24" s="10" t="s">
        <v>64</v>
      </c>
      <c r="E24" s="12" t="str">
        <f>HYPERLINK("http://www.aslscenarioarchive.com/viewPub.php?id=1541","Turning the Tide")</f>
        <v>Turning the Tide</v>
      </c>
      <c r="F24" s="13" t="str">
        <f>HYPERLINK("http://www.aslscenarioarchive.com/scenario.php?id=60425","U33")</f>
        <v>U33</v>
      </c>
      <c r="G24" s="20"/>
      <c r="H24" s="20"/>
      <c r="I24" s="16" t="s">
        <v>15</v>
      </c>
      <c r="J24" s="16" t="s">
        <v>16</v>
      </c>
      <c r="K24" s="17">
        <v>15973.0</v>
      </c>
      <c r="L24" s="16" t="s">
        <v>65</v>
      </c>
      <c r="M24" s="16"/>
    </row>
    <row r="25" ht="15.0" customHeight="1">
      <c r="A25" s="22">
        <v>28915.0</v>
      </c>
      <c r="B25" s="10" t="s">
        <v>56</v>
      </c>
      <c r="C25" s="11" t="s">
        <v>66</v>
      </c>
      <c r="D25" s="10" t="s">
        <v>67</v>
      </c>
      <c r="E25" s="12" t="str">
        <f t="shared" ref="E25:E26" si="8">HYPERLINK("http://www.aslscenarioarchive.com/viewPub.php?id=734","ASL Annual `92")</f>
        <v>ASL Annual `92</v>
      </c>
      <c r="F25" s="13" t="str">
        <f>HYPERLINK("http://www.aslscenarioarchive.com/scenario.php?id=56296","A49")</f>
        <v>A49</v>
      </c>
      <c r="G25" s="20"/>
      <c r="H25" s="20"/>
      <c r="I25" s="16" t="s">
        <v>15</v>
      </c>
      <c r="J25" s="16" t="s">
        <v>16</v>
      </c>
      <c r="K25" s="17">
        <v>16371.0</v>
      </c>
      <c r="L25" s="16" t="s">
        <v>68</v>
      </c>
      <c r="M25" s="16"/>
    </row>
    <row r="26" ht="15.0" customHeight="1">
      <c r="A26" s="9">
        <v>28946.0</v>
      </c>
      <c r="B26" s="10" t="s">
        <v>69</v>
      </c>
      <c r="C26" s="11">
        <v>101.0</v>
      </c>
      <c r="D26" s="10" t="s">
        <v>70</v>
      </c>
      <c r="E26" s="12" t="str">
        <f t="shared" si="8"/>
        <v>ASL Annual `92</v>
      </c>
      <c r="F26" s="13" t="str">
        <f>HYPERLINK("http://www.aslscenarioarchive.com/scenario.php?id=56291","A44")</f>
        <v>A44</v>
      </c>
      <c r="G26" s="20"/>
      <c r="H26" s="20"/>
      <c r="I26" s="16" t="s">
        <v>15</v>
      </c>
      <c r="J26" s="16" t="s">
        <v>16</v>
      </c>
      <c r="K26" s="17">
        <v>15160.0</v>
      </c>
      <c r="L26" s="16" t="s">
        <v>71</v>
      </c>
      <c r="M26" s="16"/>
    </row>
    <row r="27" ht="15.0" customHeight="1">
      <c r="A27" s="9">
        <v>28946.0</v>
      </c>
      <c r="B27" s="10" t="s">
        <v>69</v>
      </c>
      <c r="C27" s="11">
        <v>102.0</v>
      </c>
      <c r="D27" s="10" t="s">
        <v>72</v>
      </c>
      <c r="E27" s="12" t="str">
        <f>HYPERLINK("http://www.aslscenarioarchive.com/viewPub.php?id=703","Beyond Valor 3rd Ed")</f>
        <v>Beyond Valor 3rd Ed</v>
      </c>
      <c r="F27" s="13">
        <f>HYPERLINK("http://www.aslscenarioarchive.com/scenario.php?id=56094",129)</f>
        <v>129</v>
      </c>
      <c r="G27" s="14" t="str">
        <f>HYPERLINK("http://www.aslscenarioarchive.com/scenario.php?id=56245","A7 (ASL Annual `89)")</f>
        <v>A7 (ASL Annual `89)</v>
      </c>
      <c r="H27" s="15"/>
      <c r="I27" s="16" t="s">
        <v>15</v>
      </c>
      <c r="J27" s="16" t="s">
        <v>16</v>
      </c>
      <c r="K27" s="17">
        <v>15205.0</v>
      </c>
      <c r="L27" s="16" t="s">
        <v>73</v>
      </c>
      <c r="M27" s="16"/>
    </row>
    <row r="28" ht="15.0" customHeight="1">
      <c r="A28" s="9">
        <v>28946.0</v>
      </c>
      <c r="B28" s="10" t="s">
        <v>69</v>
      </c>
      <c r="C28" s="11">
        <v>103.0</v>
      </c>
      <c r="D28" s="10" t="s">
        <v>74</v>
      </c>
      <c r="E28" s="12" t="str">
        <f>HYPERLINK("http://www.aslscenarioarchive.com/viewPub.php?id=1541","Turning the Tide")</f>
        <v>Turning the Tide</v>
      </c>
      <c r="F28" s="13" t="str">
        <f>HYPERLINK("http://www.aslscenarioarchive.com/scenario.php?id=60418","U26")</f>
        <v>U26</v>
      </c>
      <c r="G28" s="20"/>
      <c r="H28" s="20"/>
      <c r="I28" s="16" t="s">
        <v>16</v>
      </c>
      <c r="J28" s="16" t="s">
        <v>15</v>
      </c>
      <c r="K28" s="17">
        <v>15230.0</v>
      </c>
      <c r="L28" s="16" t="s">
        <v>75</v>
      </c>
      <c r="M28" s="16"/>
    </row>
    <row r="29" ht="15.0" customHeight="1">
      <c r="A29" s="9">
        <v>28946.0</v>
      </c>
      <c r="B29" s="10" t="s">
        <v>69</v>
      </c>
      <c r="C29" s="11">
        <v>104.0</v>
      </c>
      <c r="D29" s="10" t="s">
        <v>76</v>
      </c>
      <c r="E29" s="12" t="str">
        <f>HYPERLINK("http://www.aslscenarioarchive.com/viewPub.php?id=703","Beyond Valor 3rd Ed")</f>
        <v>Beyond Valor 3rd Ed</v>
      </c>
      <c r="F29" s="13">
        <f>HYPERLINK("http://www.aslscenarioarchive.com/scenario.php?id=56096",131)</f>
        <v>131</v>
      </c>
      <c r="G29" s="14" t="str">
        <f>HYPERLINK("http://www.aslscenarioarchive.com/scenario.php?id=56258","A17 (ASL Annual `90)")</f>
        <v>A17 (ASL Annual `90)</v>
      </c>
      <c r="H29" s="15"/>
      <c r="I29" s="16" t="s">
        <v>16</v>
      </c>
      <c r="J29" s="16" t="s">
        <v>15</v>
      </c>
      <c r="K29" s="17">
        <v>15546.0</v>
      </c>
      <c r="L29" s="16" t="s">
        <v>77</v>
      </c>
      <c r="M29" s="16"/>
    </row>
    <row r="30" ht="15.0" customHeight="1">
      <c r="A30" s="9">
        <v>28946.0</v>
      </c>
      <c r="B30" s="10" t="s">
        <v>69</v>
      </c>
      <c r="C30" s="11">
        <v>105.0</v>
      </c>
      <c r="D30" s="10" t="s">
        <v>78</v>
      </c>
      <c r="E30" s="12" t="str">
        <f>HYPERLINK("http://www.aslscenarioarchive.com/viewPub.php?id=1541","Turning the Tide")</f>
        <v>Turning the Tide</v>
      </c>
      <c r="F30" s="13" t="str">
        <f>HYPERLINK("http://www.aslscenarioarchive.com/scenario.php?id=60421","U29")</f>
        <v>U29</v>
      </c>
      <c r="G30" s="20"/>
      <c r="H30" s="20"/>
      <c r="I30" s="16" t="s">
        <v>15</v>
      </c>
      <c r="J30" s="16" t="s">
        <v>16</v>
      </c>
      <c r="K30" s="17">
        <v>15707.0</v>
      </c>
      <c r="L30" s="16" t="s">
        <v>79</v>
      </c>
      <c r="M30" s="16"/>
    </row>
    <row r="31" ht="15.0" customHeight="1">
      <c r="A31" s="9">
        <v>28946.0</v>
      </c>
      <c r="B31" s="10" t="s">
        <v>69</v>
      </c>
      <c r="C31" s="11">
        <v>106.0</v>
      </c>
      <c r="D31" s="10" t="s">
        <v>80</v>
      </c>
      <c r="E31" s="19" t="str">
        <f>HYPERLINK("http://www.aslscenarioarchive.com/viewPub.php?id=1870","Yanks 2nd Ed")</f>
        <v>Yanks 2nd Ed</v>
      </c>
      <c r="F31" s="21" t="str">
        <f>HYPERLINK("http://www.aslscenarioarchive.com/scenario.php?id=63525","224")</f>
        <v>224</v>
      </c>
      <c r="G31" s="14" t="str">
        <f>HYPERLINK("http://www.aslscenarioarchive.com/scenario.php?id=56270","A26 (ASL Annual `91)")</f>
        <v>A26 (ASL Annual `91)</v>
      </c>
      <c r="H31" s="20"/>
      <c r="I31" s="16" t="s">
        <v>81</v>
      </c>
      <c r="J31" s="16" t="s">
        <v>16</v>
      </c>
      <c r="K31" s="17">
        <v>15741.0</v>
      </c>
      <c r="L31" s="16" t="s">
        <v>82</v>
      </c>
      <c r="M31" s="16"/>
    </row>
    <row r="32" ht="15.0" customHeight="1">
      <c r="A32" s="9">
        <v>28946.0</v>
      </c>
      <c r="B32" s="10" t="s">
        <v>69</v>
      </c>
      <c r="C32" s="11">
        <v>107.0</v>
      </c>
      <c r="D32" s="10" t="s">
        <v>83</v>
      </c>
      <c r="E32" s="12" t="str">
        <f>HYPERLINK("http://www.aslscenarioarchive.com/viewPub.php?id=1541","Turning the Tide")</f>
        <v>Turning the Tide</v>
      </c>
      <c r="F32" s="13" t="str">
        <f>HYPERLINK("http://www.aslscenarioarchive.com/scenario.php?id=60424","U32")</f>
        <v>U32</v>
      </c>
      <c r="G32" s="20"/>
      <c r="H32" s="20"/>
      <c r="I32" s="16" t="s">
        <v>16</v>
      </c>
      <c r="J32" s="16" t="s">
        <v>15</v>
      </c>
      <c r="K32" s="17">
        <v>15973.0</v>
      </c>
      <c r="L32" s="16" t="s">
        <v>84</v>
      </c>
      <c r="M32" s="16"/>
    </row>
    <row r="33" ht="15.0" customHeight="1">
      <c r="A33" s="9">
        <v>28946.0</v>
      </c>
      <c r="B33" s="10" t="s">
        <v>69</v>
      </c>
      <c r="C33" s="11">
        <v>108.0</v>
      </c>
      <c r="D33" s="10" t="s">
        <v>85</v>
      </c>
      <c r="E33" s="12" t="str">
        <f t="shared" ref="E33:E35" si="9">HYPERLINK("http://www.aslscenarioarchive.com/viewPub.php?id=703","Beyond Valor 3rd Ed")</f>
        <v>Beyond Valor 3rd Ed</v>
      </c>
      <c r="F33" s="13">
        <f>HYPERLINK("http://www.aslscenarioarchive.com/scenario.php?id=56098",133)</f>
        <v>133</v>
      </c>
      <c r="G33" s="14" t="str">
        <f>HYPERLINK("http://www.aslscenarioarchive.com/scenario.php?id=56401","J8 (ASL Journal # 1)")</f>
        <v>J8 (ASL Journal # 1)</v>
      </c>
      <c r="H33" s="15"/>
      <c r="I33" s="16" t="s">
        <v>15</v>
      </c>
      <c r="J33" s="16" t="s">
        <v>16</v>
      </c>
      <c r="K33" s="17">
        <v>16252.0</v>
      </c>
      <c r="L33" s="16" t="s">
        <v>86</v>
      </c>
      <c r="M33" s="16"/>
    </row>
    <row r="34" ht="15.0" customHeight="1">
      <c r="A34" s="9">
        <v>28946.0</v>
      </c>
      <c r="B34" s="10" t="s">
        <v>69</v>
      </c>
      <c r="C34" s="11">
        <v>109.0</v>
      </c>
      <c r="D34" s="10" t="s">
        <v>87</v>
      </c>
      <c r="E34" s="12" t="str">
        <f t="shared" si="9"/>
        <v>Beyond Valor 3rd Ed</v>
      </c>
      <c r="F34" s="13">
        <f>HYPERLINK("http://www.aslscenarioarchive.com/scenario.php?id=56099",134)</f>
        <v>134</v>
      </c>
      <c r="G34" s="14" t="str">
        <f>HYPERLINK("http://www.aslscenarioarchive.com/scenario.php?id=56262","A21 (ASL Annual `90)")</f>
        <v>A21 (ASL Annual `90)</v>
      </c>
      <c r="H34" s="15"/>
      <c r="I34" s="16" t="s">
        <v>16</v>
      </c>
      <c r="J34" s="16" t="s">
        <v>15</v>
      </c>
      <c r="K34" s="17">
        <v>16290.0</v>
      </c>
      <c r="L34" s="16" t="s">
        <v>88</v>
      </c>
      <c r="M34" s="16"/>
    </row>
    <row r="35" ht="15.0" customHeight="1">
      <c r="A35" s="9">
        <v>28946.0</v>
      </c>
      <c r="B35" s="10" t="s">
        <v>69</v>
      </c>
      <c r="C35" s="11">
        <v>110.0</v>
      </c>
      <c r="D35" s="10" t="s">
        <v>89</v>
      </c>
      <c r="E35" s="12" t="str">
        <f t="shared" si="9"/>
        <v>Beyond Valor 3rd Ed</v>
      </c>
      <c r="F35" s="13">
        <f>HYPERLINK("http://www.aslscenarioarchive.com/scenario.php?id=56101",136)</f>
        <v>136</v>
      </c>
      <c r="G35" s="14" t="str">
        <f>HYPERLINK("http://www.aslscenarioarchive.com/scenario.php?id=56246","A8 (ASL Annual `89)")</f>
        <v>A8 (ASL Annual `89)</v>
      </c>
      <c r="H35" s="15"/>
      <c r="I35" s="16" t="s">
        <v>15</v>
      </c>
      <c r="J35" s="16" t="s">
        <v>16</v>
      </c>
      <c r="K35" s="17">
        <v>16546.0</v>
      </c>
      <c r="L35" s="16" t="s">
        <v>90</v>
      </c>
      <c r="M35" s="16"/>
    </row>
    <row r="36" ht="15.0" customHeight="1">
      <c r="A36" s="9">
        <v>29221.0</v>
      </c>
      <c r="B36" s="10" t="s">
        <v>91</v>
      </c>
      <c r="C36" s="11">
        <v>21.0</v>
      </c>
      <c r="D36" s="10" t="s">
        <v>92</v>
      </c>
      <c r="E36" s="12" t="str">
        <f>HYPERLINK("http://www.aslscenarioarchive.com/viewPub.php?id=1541","Turning the Tide")</f>
        <v>Turning the Tide</v>
      </c>
      <c r="F36" s="13" t="str">
        <f>HYPERLINK("http://www.aslscenarioarchive.com/scenario.php?id=60407","U15")</f>
        <v>U15</v>
      </c>
      <c r="G36" s="20"/>
      <c r="H36" s="20"/>
      <c r="I36" s="16" t="s">
        <v>93</v>
      </c>
      <c r="J36" s="16" t="s">
        <v>15</v>
      </c>
      <c r="K36" s="17">
        <v>14494.0</v>
      </c>
      <c r="L36" s="16" t="s">
        <v>94</v>
      </c>
      <c r="M36" s="16"/>
    </row>
    <row r="37" ht="15.0" customHeight="1">
      <c r="A37" s="9">
        <v>29221.0</v>
      </c>
      <c r="B37" s="10" t="s">
        <v>91</v>
      </c>
      <c r="C37" s="11">
        <v>22.0</v>
      </c>
      <c r="D37" s="10" t="s">
        <v>95</v>
      </c>
      <c r="E37" s="12" t="str">
        <f>HYPERLINK("http://www.aslscenarioarchive.com/viewPub.php?id=703","Beyond Valor 3rd Ed")</f>
        <v>Beyond Valor 3rd Ed</v>
      </c>
      <c r="F37" s="13">
        <f>HYPERLINK("http://www.aslscenarioarchive.com/scenario.php?id=56088",123)</f>
        <v>123</v>
      </c>
      <c r="G37" s="14" t="str">
        <f>HYPERLINK("http://www.aslscenarioarchive.com/scenario.php?id=56248","A10 (ASL Annual `89)")</f>
        <v>A10 (ASL Annual `89)</v>
      </c>
      <c r="H37" s="15"/>
      <c r="I37" s="16" t="s">
        <v>96</v>
      </c>
      <c r="J37" s="16" t="s">
        <v>16</v>
      </c>
      <c r="K37" s="17">
        <v>14579.0</v>
      </c>
      <c r="L37" s="16" t="s">
        <v>97</v>
      </c>
      <c r="M37" s="16"/>
    </row>
    <row r="38" ht="15.0" customHeight="1">
      <c r="A38" s="9">
        <v>29221.0</v>
      </c>
      <c r="B38" s="10" t="s">
        <v>91</v>
      </c>
      <c r="C38" s="11">
        <v>23.0</v>
      </c>
      <c r="D38" s="10" t="s">
        <v>98</v>
      </c>
      <c r="E38" s="12" t="str">
        <f>HYPERLINK("http://www.aslscenarioarchive.com/scenario.php?id=56249","ASL Annual `89")</f>
        <v>ASL Annual `89</v>
      </c>
      <c r="F38" s="13" t="str">
        <f>HYPERLINK("http://www.aslscenarioarchive.com/scenario.php?id=56249","A11")</f>
        <v>A11</v>
      </c>
      <c r="G38" s="20"/>
      <c r="H38" s="20"/>
      <c r="I38" s="16" t="s">
        <v>16</v>
      </c>
      <c r="J38" s="16" t="s">
        <v>96</v>
      </c>
      <c r="K38" s="17">
        <v>14588.0</v>
      </c>
      <c r="L38" s="16" t="s">
        <v>99</v>
      </c>
      <c r="M38" s="16"/>
    </row>
    <row r="39" ht="15.0" customHeight="1">
      <c r="A39" s="9">
        <v>29221.0</v>
      </c>
      <c r="B39" s="10" t="s">
        <v>91</v>
      </c>
      <c r="C39" s="11">
        <v>24.0</v>
      </c>
      <c r="D39" s="10" t="s">
        <v>100</v>
      </c>
      <c r="E39" s="12" t="str">
        <f>HYPERLINK("http://www.aslscenarioarchive.com/viewPub.php?id=1584","Doomed Battalions 3rd Ed")</f>
        <v>Doomed Battalions 3rd Ed</v>
      </c>
      <c r="F39" s="13">
        <f>HYPERLINK("http://www.aslscenarioarchive.com/scenario.php?id=60778",141)</f>
        <v>141</v>
      </c>
      <c r="G39" s="14" t="str">
        <f>HYPERLINK("http://www.aslscenarioarchive.com/scenario.php?id=56314","A63 (ASL Annual `93b)")</f>
        <v>A63 (ASL Annual `93b)</v>
      </c>
      <c r="H39" s="15"/>
      <c r="I39" s="16" t="s">
        <v>101</v>
      </c>
      <c r="J39" s="16" t="s">
        <v>15</v>
      </c>
      <c r="K39" s="17">
        <v>14723.0</v>
      </c>
      <c r="L39" s="16" t="s">
        <v>102</v>
      </c>
      <c r="M39" s="16"/>
    </row>
    <row r="40" ht="15.0" customHeight="1">
      <c r="A40" s="9">
        <v>29221.0</v>
      </c>
      <c r="B40" s="10" t="s">
        <v>91</v>
      </c>
      <c r="C40" s="11">
        <v>25.0</v>
      </c>
      <c r="D40" s="10" t="s">
        <v>103</v>
      </c>
      <c r="E40" s="12" t="str">
        <f t="shared" ref="E40:E41" si="10">HYPERLINK("http://www.aslscenarioarchive.com/viewPub.php?id=1541","Turning the Tide")</f>
        <v>Turning the Tide</v>
      </c>
      <c r="F40" s="13" t="str">
        <f>HYPERLINK("http://www.aslscenarioarchive.com/scenario.php?id=60409","U17")</f>
        <v>U17</v>
      </c>
      <c r="G40" s="20"/>
      <c r="H40" s="20"/>
      <c r="I40" s="16" t="s">
        <v>104</v>
      </c>
      <c r="J40" s="16" t="s">
        <v>15</v>
      </c>
      <c r="K40" s="17">
        <v>14741.0</v>
      </c>
      <c r="L40" s="16" t="s">
        <v>105</v>
      </c>
      <c r="M40" s="16"/>
    </row>
    <row r="41" ht="15.0" customHeight="1">
      <c r="A41" s="9">
        <v>29221.0</v>
      </c>
      <c r="B41" s="10" t="s">
        <v>91</v>
      </c>
      <c r="C41" s="11">
        <v>26.0</v>
      </c>
      <c r="D41" s="10" t="s">
        <v>106</v>
      </c>
      <c r="E41" s="12" t="str">
        <f t="shared" si="10"/>
        <v>Turning the Tide</v>
      </c>
      <c r="F41" s="13" t="str">
        <f>HYPERLINK("http://www.aslscenarioarchive.com/scenario.php?id=60410","U18")</f>
        <v>U18</v>
      </c>
      <c r="G41" s="20"/>
      <c r="H41" s="20"/>
      <c r="I41" s="16" t="s">
        <v>107</v>
      </c>
      <c r="J41" s="16" t="s">
        <v>15</v>
      </c>
      <c r="K41" s="17">
        <v>14742.0</v>
      </c>
      <c r="L41" s="16" t="s">
        <v>108</v>
      </c>
      <c r="M41" s="16"/>
    </row>
    <row r="42" ht="15.0" customHeight="1">
      <c r="A42" s="9">
        <v>29221.0</v>
      </c>
      <c r="B42" s="10" t="s">
        <v>91</v>
      </c>
      <c r="C42" s="11">
        <v>27.0</v>
      </c>
      <c r="D42" s="10" t="s">
        <v>109</v>
      </c>
      <c r="E42" s="12" t="str">
        <f t="shared" ref="E42:E43" si="11">HYPERLINK("http://www.aslscenarioarchive.com/viewPub.php?id=736","ASL Annual `93b")</f>
        <v>ASL Annual `93b</v>
      </c>
      <c r="F42" s="13" t="str">
        <f>HYPERLINK("http://www.aslscenarioarchive.com/scenario.php?id=56316","A65")</f>
        <v>A65</v>
      </c>
      <c r="G42" s="20"/>
      <c r="H42" s="20"/>
      <c r="I42" s="16" t="s">
        <v>15</v>
      </c>
      <c r="J42" s="16" t="s">
        <v>110</v>
      </c>
      <c r="K42" s="17">
        <v>14744.0</v>
      </c>
      <c r="L42" s="16" t="s">
        <v>111</v>
      </c>
      <c r="M42" s="16"/>
    </row>
    <row r="43" ht="15.0" customHeight="1">
      <c r="A43" s="9">
        <v>29221.0</v>
      </c>
      <c r="B43" s="10" t="s">
        <v>91</v>
      </c>
      <c r="C43" s="11">
        <v>28.0</v>
      </c>
      <c r="D43" s="10" t="s">
        <v>112</v>
      </c>
      <c r="E43" s="12" t="str">
        <f t="shared" si="11"/>
        <v>ASL Annual `93b</v>
      </c>
      <c r="F43" s="13" t="str">
        <f>HYPERLINK("http://www.aslscenarioarchive.com/scenario.php?id=56317","A66")</f>
        <v>A66</v>
      </c>
      <c r="G43" s="20"/>
      <c r="H43" s="20"/>
      <c r="I43" s="16" t="s">
        <v>15</v>
      </c>
      <c r="J43" s="16" t="s">
        <v>110</v>
      </c>
      <c r="K43" s="17">
        <v>14746.0</v>
      </c>
      <c r="L43" s="16" t="s">
        <v>113</v>
      </c>
      <c r="M43" s="23" t="s">
        <v>114</v>
      </c>
    </row>
    <row r="44" ht="15.0" customHeight="1">
      <c r="A44" s="9">
        <v>29221.0</v>
      </c>
      <c r="B44" s="10" t="s">
        <v>91</v>
      </c>
      <c r="C44" s="11">
        <v>29.0</v>
      </c>
      <c r="D44" s="10" t="s">
        <v>115</v>
      </c>
      <c r="E44" s="12" t="str">
        <f>HYPERLINK("http://www.aslscenarioarchive.com/viewPub.php?id=738","ASL Annual `96")</f>
        <v>ASL Annual `96</v>
      </c>
      <c r="F44" s="13" t="str">
        <f>HYPERLINK("http://www.aslscenarioarchive.com/scenario.php?id=56353","A96")</f>
        <v>A96</v>
      </c>
      <c r="G44" s="20"/>
      <c r="H44" s="20"/>
      <c r="I44" s="16" t="s">
        <v>110</v>
      </c>
      <c r="J44" s="16" t="s">
        <v>15</v>
      </c>
      <c r="K44" s="17">
        <v>14748.0</v>
      </c>
      <c r="L44" s="16" t="s">
        <v>116</v>
      </c>
      <c r="M44" s="23" t="s">
        <v>114</v>
      </c>
    </row>
    <row r="45" ht="15.0" customHeight="1">
      <c r="A45" s="9">
        <v>29221.0</v>
      </c>
      <c r="B45" s="10" t="s">
        <v>91</v>
      </c>
      <c r="C45" s="11">
        <v>30.0</v>
      </c>
      <c r="D45" s="10" t="s">
        <v>117</v>
      </c>
      <c r="E45" s="12" t="str">
        <f>HYPERLINK("http://www.aslscenarioarchive.com/viewPub.php?id=714","For King and Country")</f>
        <v>For King and Country</v>
      </c>
      <c r="F45" s="13">
        <f>HYPERLINK("http://www.aslscenarioarchive.com/scenario.php?id=56056",91)</f>
        <v>91</v>
      </c>
      <c r="G45" s="24" t="str">
        <f>HYPERLINK("http://www.aslscenarioarchive.com/scenario.php?id=56287","A40 (ASL Annual `92)")</f>
        <v>A40 (ASL Annual `92)</v>
      </c>
      <c r="H45" s="25"/>
      <c r="I45" s="16" t="s">
        <v>15</v>
      </c>
      <c r="J45" s="16" t="s">
        <v>118</v>
      </c>
      <c r="K45" s="17">
        <v>14752.0</v>
      </c>
      <c r="L45" s="16" t="s">
        <v>119</v>
      </c>
      <c r="M45" s="16"/>
    </row>
    <row r="46" ht="15.0" customHeight="1">
      <c r="A46" s="9">
        <v>29221.0</v>
      </c>
      <c r="B46" s="10" t="s">
        <v>91</v>
      </c>
      <c r="C46" s="11">
        <v>31.0</v>
      </c>
      <c r="D46" s="10" t="s">
        <v>120</v>
      </c>
      <c r="E46" s="12" t="str">
        <f>HYPERLINK("http://www.aslscenarioarchive.com/viewPub.php?id=736","ASL Annual `93b")</f>
        <v>ASL Annual `93b</v>
      </c>
      <c r="F46" s="13" t="str">
        <f>HYPERLINK("http://www.aslscenarioarchive.com/scenario.php?id=56315","A64")</f>
        <v>A64</v>
      </c>
      <c r="G46" s="20"/>
      <c r="H46" s="20"/>
      <c r="I46" s="16" t="s">
        <v>110</v>
      </c>
      <c r="J46" s="16" t="s">
        <v>15</v>
      </c>
      <c r="K46" s="17">
        <v>14767.0</v>
      </c>
      <c r="L46" s="16" t="s">
        <v>121</v>
      </c>
      <c r="M46" s="23" t="s">
        <v>114</v>
      </c>
    </row>
    <row r="47" ht="15.0" customHeight="1">
      <c r="A47" s="9">
        <v>29221.0</v>
      </c>
      <c r="B47" s="10" t="s">
        <v>91</v>
      </c>
      <c r="C47" s="11">
        <v>32.0</v>
      </c>
      <c r="D47" s="10" t="s">
        <v>122</v>
      </c>
      <c r="E47" s="12" t="str">
        <f>HYPERLINK("http://www.aslscenarioarchive.com/viewPub.php?id=1541","Turning the Tide")</f>
        <v>Turning the Tide</v>
      </c>
      <c r="F47" s="13" t="str">
        <f>HYPERLINK("http://www.aslscenarioarchive.com/scenario.php?id=60415","U23")</f>
        <v>U23</v>
      </c>
      <c r="G47" s="20"/>
      <c r="H47" s="20"/>
      <c r="I47" s="16" t="s">
        <v>123</v>
      </c>
      <c r="J47" s="16" t="s">
        <v>15</v>
      </c>
      <c r="K47" s="17">
        <v>15092.0</v>
      </c>
      <c r="L47" s="16" t="s">
        <v>124</v>
      </c>
      <c r="M47" s="16"/>
    </row>
    <row r="48" ht="15.0" customHeight="1">
      <c r="A48" s="22">
        <v>29403.0</v>
      </c>
      <c r="B48" s="10" t="s">
        <v>125</v>
      </c>
      <c r="C48" s="11" t="s">
        <v>126</v>
      </c>
      <c r="D48" s="10" t="s">
        <v>127</v>
      </c>
      <c r="E48" s="19" t="str">
        <f t="shared" ref="E48:E52" si="12">HYPERLINK("http://www.aslscenarioarchive.com/viewPub.php?id=1870","Yanks 2nd Ed")</f>
        <v>Yanks 2nd Ed</v>
      </c>
      <c r="F48" s="21" t="str">
        <f>HYPERLINK("http://www.aslscenarioarchive.com/scenario.php?id=62789","178")</f>
        <v>178</v>
      </c>
      <c r="G48" s="18" t="str">
        <f>HYPERLINK("http://www.aslscenarioarchive.com/scenario.php?id=56630","T9 (The General 28.1)")</f>
        <v>T9 (The General 28.1)</v>
      </c>
      <c r="H48" s="20"/>
      <c r="I48" s="16" t="s">
        <v>27</v>
      </c>
      <c r="J48" s="16" t="s">
        <v>15</v>
      </c>
      <c r="K48" s="17">
        <v>15897.0</v>
      </c>
      <c r="L48" s="16" t="s">
        <v>128</v>
      </c>
      <c r="M48" s="16"/>
    </row>
    <row r="49" ht="15.0" customHeight="1">
      <c r="A49" s="22">
        <v>29403.0</v>
      </c>
      <c r="B49" s="10" t="s">
        <v>125</v>
      </c>
      <c r="C49" s="11" t="s">
        <v>129</v>
      </c>
      <c r="D49" s="10" t="s">
        <v>130</v>
      </c>
      <c r="E49" s="19" t="str">
        <f t="shared" si="12"/>
        <v>Yanks 2nd Ed</v>
      </c>
      <c r="F49" s="21" t="str">
        <f>HYPERLINK("http://www.aslscenarioarchive.com/scenario.php?id=62794","183")</f>
        <v>183</v>
      </c>
      <c r="G49" s="14" t="str">
        <f>HYPERLINK("http://www.aslscenarioarchive.com/scenario.php?id=56626","T5 (The General 27.2)")</f>
        <v>T5 (The General 27.2)</v>
      </c>
      <c r="H49" s="26" t="str">
        <f>HYPERLINK("http://www.aslscenarioarchive.com/scenario.php?id=56522","T5 (Classic ASL)")</f>
        <v>T5 (Classic ASL)</v>
      </c>
      <c r="I49" s="16" t="s">
        <v>15</v>
      </c>
      <c r="J49" s="16" t="s">
        <v>27</v>
      </c>
      <c r="K49" s="17">
        <v>16229.0</v>
      </c>
      <c r="L49" s="16" t="s">
        <v>131</v>
      </c>
      <c r="M49" s="18" t="str">
        <f>HYPERLINK("http://www.multimanpublishing.com/Support/ASLASLSK/ASLOfficialDownloads/tabid/109/Default.aspx","Official DL")</f>
        <v>Official DL</v>
      </c>
    </row>
    <row r="50" ht="15.0" customHeight="1">
      <c r="A50" s="22">
        <v>29403.0</v>
      </c>
      <c r="B50" s="10" t="s">
        <v>125</v>
      </c>
      <c r="C50" s="11" t="s">
        <v>132</v>
      </c>
      <c r="D50" s="10" t="s">
        <v>133</v>
      </c>
      <c r="E50" s="19" t="str">
        <f t="shared" si="12"/>
        <v>Yanks 2nd Ed</v>
      </c>
      <c r="F50" s="21" t="str">
        <f>HYPERLINK("http://www.aslscenarioarchive.com/scenario.php?id=62800","189")</f>
        <v>189</v>
      </c>
      <c r="G50" s="14" t="str">
        <f>HYPERLINK("http://www.aslscenarioarchive.com/scenario.php?id=56631","T10 (The General 28.1)")</f>
        <v>T10 (The General 28.1)</v>
      </c>
      <c r="H50" s="20"/>
      <c r="I50" s="16" t="s">
        <v>15</v>
      </c>
      <c r="J50" s="16" t="s">
        <v>27</v>
      </c>
      <c r="K50" s="17">
        <v>16334.0</v>
      </c>
      <c r="L50" s="16" t="s">
        <v>134</v>
      </c>
      <c r="M50" s="16"/>
    </row>
    <row r="51" ht="15.0" customHeight="1">
      <c r="A51" s="22">
        <v>29403.0</v>
      </c>
      <c r="B51" s="10" t="s">
        <v>125</v>
      </c>
      <c r="C51" s="11" t="s">
        <v>135</v>
      </c>
      <c r="D51" s="10" t="s">
        <v>136</v>
      </c>
      <c r="E51" s="19" t="str">
        <f t="shared" si="12"/>
        <v>Yanks 2nd Ed</v>
      </c>
      <c r="F51" s="21" t="str">
        <f>HYPERLINK("http://www.aslscenarioarchive.com/scenario.php?id=62805","194")</f>
        <v>194</v>
      </c>
      <c r="G51" s="18" t="str">
        <f>HYPERLINK("http://www.aslscenarioarchive.com/scenario.php?id=56632","T11 (The General 28.2)")</f>
        <v>T11 (The General 28.2)</v>
      </c>
      <c r="H51" s="20"/>
      <c r="I51" s="16" t="s">
        <v>27</v>
      </c>
      <c r="J51" s="16" t="s">
        <v>137</v>
      </c>
      <c r="K51" s="17">
        <v>16427.0</v>
      </c>
      <c r="L51" s="16" t="s">
        <v>138</v>
      </c>
      <c r="M51" s="16"/>
    </row>
    <row r="52" ht="15.0" customHeight="1">
      <c r="A52" s="22">
        <v>29403.0</v>
      </c>
      <c r="B52" s="10" t="s">
        <v>125</v>
      </c>
      <c r="C52" s="11" t="s">
        <v>139</v>
      </c>
      <c r="D52" s="10" t="s">
        <v>140</v>
      </c>
      <c r="E52" s="19" t="str">
        <f t="shared" si="12"/>
        <v>Yanks 2nd Ed</v>
      </c>
      <c r="F52" s="21" t="str">
        <f>HYPERLINK("http://www.aslscenarioarchive.com/scenario.php?id=62812","201")</f>
        <v>201</v>
      </c>
      <c r="G52" s="18" t="str">
        <f>HYPERLINK("http://www.aslscenarioarchive.com/scenario.php?id=56633","T12 (The General 28.2)")</f>
        <v>T12 (The General 28.2)</v>
      </c>
      <c r="H52" s="20"/>
      <c r="I52" s="16" t="s">
        <v>15</v>
      </c>
      <c r="J52" s="16" t="s">
        <v>27</v>
      </c>
      <c r="K52" s="17">
        <v>16520.0</v>
      </c>
      <c r="L52" s="16" t="s">
        <v>141</v>
      </c>
      <c r="M52" s="16"/>
    </row>
    <row r="53" ht="15.0" customHeight="1">
      <c r="A53" s="9">
        <v>29587.0</v>
      </c>
      <c r="B53" s="10" t="s">
        <v>142</v>
      </c>
      <c r="C53" s="11">
        <v>201.0</v>
      </c>
      <c r="D53" s="10" t="s">
        <v>143</v>
      </c>
      <c r="E53" s="12" t="str">
        <f t="shared" ref="E53:E54" si="13">HYPERLINK("http://www.aslscenarioarchive.com/viewPub.php?id=1541","Turning the Tide")</f>
        <v>Turning the Tide</v>
      </c>
      <c r="F53" s="13" t="str">
        <f>HYPERLINK("http://www.aslscenarioarchive.com/scenario.php?id=60406","U14")</f>
        <v>U14</v>
      </c>
      <c r="G53" s="20"/>
      <c r="H53" s="20"/>
      <c r="I53" s="16" t="s">
        <v>93</v>
      </c>
      <c r="J53" s="16" t="s">
        <v>15</v>
      </c>
      <c r="K53" s="17">
        <v>14489.0</v>
      </c>
      <c r="L53" s="16" t="s">
        <v>144</v>
      </c>
      <c r="M53" s="16"/>
    </row>
    <row r="54" ht="15.0" customHeight="1">
      <c r="A54" s="9">
        <v>29587.0</v>
      </c>
      <c r="B54" s="10" t="s">
        <v>142</v>
      </c>
      <c r="C54" s="11">
        <v>202.0</v>
      </c>
      <c r="D54" s="10" t="s">
        <v>145</v>
      </c>
      <c r="E54" s="12" t="str">
        <f t="shared" si="13"/>
        <v>Turning the Tide</v>
      </c>
      <c r="F54" s="13" t="str">
        <f>HYPERLINK("http://www.aslscenarioarchive.com/scenario.php?id=60408","U16")</f>
        <v>U16</v>
      </c>
      <c r="G54" s="20"/>
      <c r="H54" s="20"/>
      <c r="I54" s="16" t="s">
        <v>15</v>
      </c>
      <c r="J54" s="16" t="s">
        <v>93</v>
      </c>
      <c r="K54" s="17">
        <v>14500.0</v>
      </c>
      <c r="L54" s="16" t="s">
        <v>146</v>
      </c>
      <c r="M54" s="16"/>
    </row>
    <row r="55" ht="15.0" customHeight="1">
      <c r="A55" s="9">
        <v>29587.0</v>
      </c>
      <c r="B55" s="10" t="s">
        <v>142</v>
      </c>
      <c r="C55" s="11">
        <v>203.0</v>
      </c>
      <c r="D55" s="10" t="s">
        <v>147</v>
      </c>
      <c r="E55" s="12" t="str">
        <f>HYPERLINK("http://www.aslscenarioarchive.com/viewPub.php?id=744","ASL Journal # 3")</f>
        <v>ASL Journal # 3</v>
      </c>
      <c r="F55" s="13" t="str">
        <f>HYPERLINK("http://www.aslscenarioarchive.com/scenario.php?id=56437","J38")</f>
        <v>J38</v>
      </c>
      <c r="G55" s="20"/>
      <c r="H55" s="20"/>
      <c r="I55" s="16" t="s">
        <v>118</v>
      </c>
      <c r="J55" s="16" t="s">
        <v>15</v>
      </c>
      <c r="K55" s="17">
        <v>14729.0</v>
      </c>
      <c r="L55" s="16" t="s">
        <v>148</v>
      </c>
      <c r="M55" s="16"/>
    </row>
    <row r="56" ht="15.0" customHeight="1">
      <c r="A56" s="9">
        <v>29587.0</v>
      </c>
      <c r="B56" s="10" t="s">
        <v>142</v>
      </c>
      <c r="C56" s="11">
        <v>204.0</v>
      </c>
      <c r="D56" s="10" t="s">
        <v>149</v>
      </c>
      <c r="E56" s="12" t="str">
        <f>HYPERLINK("http://www.aslscenarioarchive.com/viewPub.php?id=765","The General 30.5")</f>
        <v>The General 30.5</v>
      </c>
      <c r="F56" s="13" t="str">
        <f>HYPERLINK("http://www.aslscenarioarchive.com/scenario.php?id=56573","U")</f>
        <v>U</v>
      </c>
      <c r="G56" s="20"/>
      <c r="H56" s="20"/>
      <c r="I56" s="16" t="s">
        <v>15</v>
      </c>
      <c r="J56" s="16" t="s">
        <v>110</v>
      </c>
      <c r="K56" s="17">
        <v>14745.0</v>
      </c>
      <c r="L56" s="16" t="s">
        <v>150</v>
      </c>
      <c r="M56" s="23" t="s">
        <v>114</v>
      </c>
    </row>
    <row r="57" ht="15.0" customHeight="1">
      <c r="A57" s="9">
        <v>29587.0</v>
      </c>
      <c r="B57" s="10" t="s">
        <v>142</v>
      </c>
      <c r="C57" s="11">
        <v>205.0</v>
      </c>
      <c r="D57" s="10" t="s">
        <v>151</v>
      </c>
      <c r="E57" s="12" t="str">
        <f>HYPERLINK("http://www.aslscenarioarchive.com/viewPub.php?id=738","ASL Annual `96")</f>
        <v>ASL Annual `96</v>
      </c>
      <c r="F57" s="13" t="str">
        <f>HYPERLINK("http://www.aslscenarioarchive.com/scenario.php?id=56351","A94")</f>
        <v>A94</v>
      </c>
      <c r="G57" s="20"/>
      <c r="H57" s="20"/>
      <c r="I57" s="16" t="s">
        <v>110</v>
      </c>
      <c r="J57" s="16" t="s">
        <v>15</v>
      </c>
      <c r="K57" s="17">
        <v>14746.0</v>
      </c>
      <c r="L57" s="16" t="s">
        <v>152</v>
      </c>
      <c r="M57" s="23" t="s">
        <v>114</v>
      </c>
    </row>
    <row r="58" ht="15.0" customHeight="1">
      <c r="A58" s="9">
        <v>29587.0</v>
      </c>
      <c r="B58" s="10" t="s">
        <v>142</v>
      </c>
      <c r="C58" s="11">
        <v>206.0</v>
      </c>
      <c r="D58" s="10" t="s">
        <v>153</v>
      </c>
      <c r="E58" s="12" t="str">
        <f t="shared" ref="E58:E60" si="14">HYPERLINK("http://www.aslscenarioarchive.com/viewPub.php?id=1541","Turning the Tide")</f>
        <v>Turning the Tide</v>
      </c>
      <c r="F58" s="13" t="str">
        <f>HYPERLINK("http://www.aslscenarioarchive.com/scenario.php?id=60412","U20")</f>
        <v>U20</v>
      </c>
      <c r="G58" s="20"/>
      <c r="H58" s="20"/>
      <c r="I58" s="16" t="s">
        <v>154</v>
      </c>
      <c r="J58" s="16" t="s">
        <v>15</v>
      </c>
      <c r="K58" s="17">
        <v>14759.0</v>
      </c>
      <c r="L58" s="16" t="s">
        <v>155</v>
      </c>
      <c r="M58" s="23" t="s">
        <v>114</v>
      </c>
    </row>
    <row r="59" ht="15.0" customHeight="1">
      <c r="A59" s="9">
        <v>29587.0</v>
      </c>
      <c r="B59" s="10" t="s">
        <v>142</v>
      </c>
      <c r="C59" s="11">
        <v>207.0</v>
      </c>
      <c r="D59" s="10" t="s">
        <v>156</v>
      </c>
      <c r="E59" s="12" t="str">
        <f t="shared" si="14"/>
        <v>Turning the Tide</v>
      </c>
      <c r="F59" s="13" t="str">
        <f>HYPERLINK("http://www.aslscenarioarchive.com/scenario.php?id=60413","U21")</f>
        <v>U21</v>
      </c>
      <c r="G59" s="20"/>
      <c r="H59" s="20"/>
      <c r="I59" s="16" t="s">
        <v>110</v>
      </c>
      <c r="J59" s="16" t="s">
        <v>15</v>
      </c>
      <c r="K59" s="17">
        <v>14764.0</v>
      </c>
      <c r="L59" s="16" t="s">
        <v>157</v>
      </c>
      <c r="M59" s="23" t="s">
        <v>114</v>
      </c>
    </row>
    <row r="60" ht="15.0" customHeight="1">
      <c r="A60" s="9">
        <v>29587.0</v>
      </c>
      <c r="B60" s="10" t="s">
        <v>142</v>
      </c>
      <c r="C60" s="11">
        <v>208.0</v>
      </c>
      <c r="D60" s="10" t="s">
        <v>158</v>
      </c>
      <c r="E60" s="12" t="str">
        <f t="shared" si="14"/>
        <v>Turning the Tide</v>
      </c>
      <c r="F60" s="13" t="str">
        <f>HYPERLINK("http://www.aslscenarioarchive.com/scenario.php?id=60414","U22")</f>
        <v>U22</v>
      </c>
      <c r="G60" s="20"/>
      <c r="H60" s="20"/>
      <c r="I60" s="16" t="s">
        <v>118</v>
      </c>
      <c r="J60" s="16" t="s">
        <v>15</v>
      </c>
      <c r="K60" s="17">
        <v>15079.0</v>
      </c>
      <c r="L60" s="16" t="s">
        <v>159</v>
      </c>
      <c r="M60" s="16"/>
    </row>
    <row r="61" ht="15.0" customHeight="1">
      <c r="A61" s="9">
        <v>29587.0</v>
      </c>
      <c r="B61" s="10" t="s">
        <v>142</v>
      </c>
      <c r="C61" s="11">
        <v>209.0</v>
      </c>
      <c r="D61" s="10" t="s">
        <v>160</v>
      </c>
      <c r="E61" s="12" t="str">
        <f>HYPERLINK("http://www.aslscenarioarchive.com/viewPub.php?id=798","The General 29.1")</f>
        <v>The General 29.1</v>
      </c>
      <c r="F61" s="13" t="str">
        <f>HYPERLINK("http://www.aslscenarioarchive.com/scenario.php?id=56636","T15")</f>
        <v>T15</v>
      </c>
      <c r="G61" s="20"/>
      <c r="H61" s="20"/>
      <c r="I61" s="16" t="s">
        <v>118</v>
      </c>
      <c r="J61" s="16" t="s">
        <v>15</v>
      </c>
      <c r="K61" s="17">
        <v>15116.0</v>
      </c>
      <c r="L61" s="16" t="s">
        <v>161</v>
      </c>
      <c r="M61" s="16"/>
    </row>
    <row r="62" ht="15.0" customHeight="1">
      <c r="A62" s="9">
        <v>29587.0</v>
      </c>
      <c r="B62" s="10" t="s">
        <v>142</v>
      </c>
      <c r="C62" s="11">
        <v>210.0</v>
      </c>
      <c r="D62" s="10" t="s">
        <v>162</v>
      </c>
      <c r="E62" s="12" t="str">
        <f>HYPERLINK("http://www.aslscenarioarchive.com/viewPub.php?id=797","The General 28.6")</f>
        <v>The General 28.6</v>
      </c>
      <c r="F62" s="13" t="str">
        <f>HYPERLINK("http://www.aslscenarioarchive.com/scenario.php?id=56634","T13")</f>
        <v>T13</v>
      </c>
      <c r="G62" s="20"/>
      <c r="H62" s="20"/>
      <c r="I62" s="16" t="s">
        <v>15</v>
      </c>
      <c r="J62" s="16" t="s">
        <v>163</v>
      </c>
      <c r="K62" s="17">
        <v>16302.0</v>
      </c>
      <c r="L62" s="16" t="s">
        <v>164</v>
      </c>
      <c r="M62" s="16"/>
    </row>
    <row r="63" ht="15.0" customHeight="1">
      <c r="A63" s="22">
        <v>29768.0</v>
      </c>
      <c r="B63" s="10" t="s">
        <v>165</v>
      </c>
      <c r="C63" s="11" t="s">
        <v>166</v>
      </c>
      <c r="D63" s="10" t="s">
        <v>167</v>
      </c>
      <c r="E63" s="27" t="str">
        <f>HYPERLINK("http://www.aslscenarioarchive.com/viewPub.php?id=1700","Rivers to the Reich")</f>
        <v>Rivers to the Reich</v>
      </c>
      <c r="F63" s="28" t="str">
        <f>HYPERLINK("http://www.aslscenarioarchive.com/scenario.php?id=61793","U35")</f>
        <v>U35</v>
      </c>
      <c r="G63" s="20"/>
      <c r="H63" s="20"/>
      <c r="I63" s="16" t="s">
        <v>15</v>
      </c>
      <c r="J63" s="16" t="s">
        <v>168</v>
      </c>
      <c r="K63" s="17">
        <v>16342.0</v>
      </c>
      <c r="L63" s="16" t="s">
        <v>169</v>
      </c>
      <c r="M63" s="16"/>
    </row>
    <row r="64" ht="15.0" customHeight="1">
      <c r="A64" s="22">
        <v>29830.0</v>
      </c>
      <c r="B64" s="10" t="s">
        <v>170</v>
      </c>
      <c r="C64" s="11" t="s">
        <v>171</v>
      </c>
      <c r="D64" s="10" t="s">
        <v>172</v>
      </c>
      <c r="E64" s="12" t="str">
        <f>HYPERLINK("http://www.aslscenarioarchive.com/viewPub.php?id=746","ASL Journal # 5")</f>
        <v>ASL Journal # 5</v>
      </c>
      <c r="F64" s="13" t="str">
        <f>HYPERLINK("http://www.aslscenarioarchive.com/scenario.php?id=56481","J78")</f>
        <v>J78</v>
      </c>
      <c r="G64" s="20"/>
      <c r="H64" s="20"/>
      <c r="I64" s="16" t="s">
        <v>15</v>
      </c>
      <c r="J64" s="16" t="s">
        <v>16</v>
      </c>
      <c r="K64" s="17">
        <v>15195.0</v>
      </c>
      <c r="L64" s="16" t="s">
        <v>173</v>
      </c>
      <c r="M64" s="16"/>
    </row>
    <row r="65" ht="15.0" customHeight="1">
      <c r="A65" s="22">
        <v>29891.0</v>
      </c>
      <c r="B65" s="10" t="s">
        <v>174</v>
      </c>
      <c r="C65" s="11" t="s">
        <v>175</v>
      </c>
      <c r="D65" s="10" t="s">
        <v>176</v>
      </c>
      <c r="E65" s="12" t="str">
        <f>HYPERLINK("http://www.aslscenarioarchive.com/viewPub.php?id=738","ASL Annual `96")</f>
        <v>ASL Annual `96</v>
      </c>
      <c r="F65" s="13" t="str">
        <f>HYPERLINK("http://www.aslscenarioarchive.com/scenario.php?id=56352","A95")</f>
        <v>A95</v>
      </c>
      <c r="G65" s="20"/>
      <c r="H65" s="20"/>
      <c r="I65" s="16" t="s">
        <v>177</v>
      </c>
      <c r="J65" s="16" t="s">
        <v>178</v>
      </c>
      <c r="K65" s="17">
        <v>15600.0</v>
      </c>
      <c r="L65" s="16" t="s">
        <v>179</v>
      </c>
      <c r="M65" s="16"/>
    </row>
    <row r="66" ht="15.0" customHeight="1">
      <c r="A66" s="22">
        <v>29952.0</v>
      </c>
      <c r="B66" s="10" t="s">
        <v>180</v>
      </c>
      <c r="C66" s="11" t="s">
        <v>181</v>
      </c>
      <c r="D66" s="10" t="s">
        <v>182</v>
      </c>
      <c r="E66" s="12" t="str">
        <f>HYPERLINK("http://www.aslscenarioarchive.com/viewPub.php?id=749","Classic ASL")</f>
        <v>Classic ASL</v>
      </c>
      <c r="F66" s="13" t="str">
        <f>HYPERLINK("http://www.aslscenarioarchive.com/scenario.php?id=56523","T6")</f>
        <v>T6</v>
      </c>
      <c r="G66" s="14" t="str">
        <f>HYPERLINK("http://www.aslscenarioarchive.com/scenario.php?id=56627","T6 (The General 27.2)")</f>
        <v>T6 (The General 27.2)</v>
      </c>
      <c r="H66" s="15"/>
      <c r="I66" s="16" t="s">
        <v>15</v>
      </c>
      <c r="J66" s="16" t="s">
        <v>16</v>
      </c>
      <c r="K66" s="17">
        <v>15339.0</v>
      </c>
      <c r="L66" s="16" t="s">
        <v>183</v>
      </c>
      <c r="M66" s="18" t="str">
        <f>HYPERLINK("http://www.multimanpublishing.com/Support/ASLASLSK/ASLOfficialDownloads/tabid/109/Default.aspx","Official DL")</f>
        <v>Official DL</v>
      </c>
    </row>
    <row r="67" ht="15.0" customHeight="1">
      <c r="A67" s="9">
        <v>29983.0</v>
      </c>
      <c r="B67" s="10" t="s">
        <v>184</v>
      </c>
      <c r="C67" s="11" t="s">
        <v>185</v>
      </c>
      <c r="D67" s="10" t="s">
        <v>186</v>
      </c>
      <c r="E67" s="12" t="str">
        <f>HYPERLINK("http://www.aslscenarioarchive.com/viewPub.php?id=766","The General 31.3")</f>
        <v>The General 31.3</v>
      </c>
      <c r="F67" s="13" t="str">
        <f>HYPERLINK("http://www.aslscenarioarchive.com/scenario.php?id=56574","V")</f>
        <v>V</v>
      </c>
      <c r="G67" s="20"/>
      <c r="H67" s="20"/>
      <c r="I67" s="16" t="s">
        <v>27</v>
      </c>
      <c r="J67" s="16" t="s">
        <v>15</v>
      </c>
      <c r="K67" s="17">
        <v>16772.0</v>
      </c>
      <c r="L67" s="16" t="s">
        <v>187</v>
      </c>
      <c r="M67" s="16"/>
    </row>
    <row r="68" ht="15.0" customHeight="1">
      <c r="A68" s="9">
        <v>29983.0</v>
      </c>
      <c r="B68" s="10" t="s">
        <v>184</v>
      </c>
      <c r="C68" s="11" t="s">
        <v>188</v>
      </c>
      <c r="D68" s="10" t="s">
        <v>189</v>
      </c>
      <c r="E68" s="12" t="str">
        <f>HYPERLINK("http://www.aslscenarioarchive.com/viewPub.php?id=1584","Doomed Battalions 3rd Ed")</f>
        <v>Doomed Battalions 3rd Ed</v>
      </c>
      <c r="F68" s="13">
        <f>HYPERLINK("http://www.aslscenarioarchive.com/scenario.php?id=60779",142)</f>
        <v>142</v>
      </c>
      <c r="G68" s="14" t="str">
        <f>HYPERLINK("http://www.aslscenarioarchive.com/scenario.php?id=56275","A31 (ASL Annual `91)")</f>
        <v>A31 (ASL Annual `91)</v>
      </c>
      <c r="H68" s="15"/>
      <c r="I68" s="16" t="s">
        <v>190</v>
      </c>
      <c r="J68" s="16" t="s">
        <v>15</v>
      </c>
      <c r="K68" s="17">
        <v>14725.0</v>
      </c>
      <c r="L68" s="16" t="s">
        <v>191</v>
      </c>
      <c r="M68" s="16"/>
    </row>
    <row r="69" ht="15.0" customHeight="1">
      <c r="A69" s="9">
        <v>29983.0</v>
      </c>
      <c r="B69" s="10" t="s">
        <v>184</v>
      </c>
      <c r="C69" s="11" t="s">
        <v>192</v>
      </c>
      <c r="D69" s="10" t="s">
        <v>193</v>
      </c>
      <c r="E69" s="12" t="str">
        <f t="shared" ref="E69:E71" si="15">HYPERLINK("http://www.aslscenarioarchive.com/viewPub.php?id=1541","Turning the Tide")</f>
        <v>Turning the Tide</v>
      </c>
      <c r="F69" s="13" t="str">
        <f>HYPERLINK("http://www.aslscenarioarchive.com/scenario.php?id=60416","U24")</f>
        <v>U24</v>
      </c>
      <c r="G69" s="20"/>
      <c r="H69" s="20"/>
      <c r="I69" s="16" t="s">
        <v>16</v>
      </c>
      <c r="J69" s="16" t="s">
        <v>15</v>
      </c>
      <c r="K69" s="17">
        <v>15150.0</v>
      </c>
      <c r="L69" s="16" t="s">
        <v>194</v>
      </c>
      <c r="M69" s="16"/>
    </row>
    <row r="70" ht="15.0" customHeight="1">
      <c r="A70" s="9">
        <v>29983.0</v>
      </c>
      <c r="B70" s="10" t="s">
        <v>184</v>
      </c>
      <c r="C70" s="11" t="s">
        <v>195</v>
      </c>
      <c r="D70" s="10" t="s">
        <v>196</v>
      </c>
      <c r="E70" s="12" t="str">
        <f t="shared" si="15"/>
        <v>Turning the Tide</v>
      </c>
      <c r="F70" s="13" t="str">
        <f>HYPERLINK("http://www.aslscenarioarchive.com/scenario.php?id=60423","U31")</f>
        <v>U31</v>
      </c>
      <c r="G70" s="20"/>
      <c r="H70" s="20"/>
      <c r="I70" s="16" t="s">
        <v>16</v>
      </c>
      <c r="J70" s="16" t="s">
        <v>15</v>
      </c>
      <c r="K70" s="17">
        <v>15940.0</v>
      </c>
      <c r="L70" s="16" t="s">
        <v>197</v>
      </c>
      <c r="M70" s="16"/>
    </row>
    <row r="71" ht="15.0" customHeight="1">
      <c r="A71" s="9">
        <v>29983.0</v>
      </c>
      <c r="B71" s="10" t="s">
        <v>184</v>
      </c>
      <c r="C71" s="11" t="s">
        <v>198</v>
      </c>
      <c r="D71" s="10" t="s">
        <v>199</v>
      </c>
      <c r="E71" s="12" t="str">
        <f t="shared" si="15"/>
        <v>Turning the Tide</v>
      </c>
      <c r="F71" s="13" t="str">
        <f>HYPERLINK("http://www.aslscenarioarchive.com/scenario.php?id=60411","U19")</f>
        <v>U19</v>
      </c>
      <c r="G71" s="20"/>
      <c r="H71" s="20"/>
      <c r="I71" s="16" t="s">
        <v>15</v>
      </c>
      <c r="J71" s="16" t="s">
        <v>118</v>
      </c>
      <c r="K71" s="17">
        <v>14758.0</v>
      </c>
      <c r="L71" s="16" t="s">
        <v>200</v>
      </c>
      <c r="M71" s="16"/>
    </row>
    <row r="72" ht="15.0" customHeight="1">
      <c r="A72" s="9">
        <v>29983.0</v>
      </c>
      <c r="B72" s="10" t="s">
        <v>184</v>
      </c>
      <c r="C72" s="11" t="s">
        <v>201</v>
      </c>
      <c r="D72" s="10" t="s">
        <v>202</v>
      </c>
      <c r="E72" s="27" t="str">
        <f>HYPERLINK("http://www.aslscenarioarchive.com/viewPub.php?id=1700","Rivers to the Reich")</f>
        <v>Rivers to the Reich</v>
      </c>
      <c r="F72" s="28" t="str">
        <f>HYPERLINK("http://www.aslscenarioarchive.com/scenario.php?id=61805","U47")</f>
        <v>U47</v>
      </c>
      <c r="G72" s="20"/>
      <c r="H72" s="20"/>
      <c r="I72" s="16" t="s">
        <v>15</v>
      </c>
      <c r="J72" s="16" t="s">
        <v>168</v>
      </c>
      <c r="K72" s="17">
        <v>16535.0</v>
      </c>
      <c r="L72" s="16" t="s">
        <v>203</v>
      </c>
      <c r="M72" s="16"/>
    </row>
    <row r="73" ht="15.0" customHeight="1">
      <c r="A73" s="9">
        <v>29983.0</v>
      </c>
      <c r="B73" s="10" t="s">
        <v>184</v>
      </c>
      <c r="C73" s="11" t="s">
        <v>204</v>
      </c>
      <c r="D73" s="10" t="s">
        <v>205</v>
      </c>
      <c r="E73" s="12" t="str">
        <f>HYPERLINK("http://www.aslscenarioarchive.com/viewPub.php?id=763","The General 28.4")</f>
        <v>The General 28.4</v>
      </c>
      <c r="F73" s="13" t="str">
        <f>HYPERLINK("http://www.aslscenarioarchive.com/scenario.php?id=56571","S")</f>
        <v>S</v>
      </c>
      <c r="G73" s="20"/>
      <c r="H73" s="20"/>
      <c r="I73" s="16" t="s">
        <v>27</v>
      </c>
      <c r="J73" s="16" t="s">
        <v>15</v>
      </c>
      <c r="K73" s="17">
        <v>16545.0</v>
      </c>
      <c r="L73" s="16" t="s">
        <v>206</v>
      </c>
      <c r="M73" s="16"/>
    </row>
    <row r="74" ht="15.0" customHeight="1">
      <c r="A74" s="9">
        <v>29983.0</v>
      </c>
      <c r="B74" s="10" t="s">
        <v>184</v>
      </c>
      <c r="C74" s="11" t="s">
        <v>207</v>
      </c>
      <c r="D74" s="10" t="s">
        <v>208</v>
      </c>
      <c r="E74" s="27" t="str">
        <f t="shared" ref="E74:E78" si="16">HYPERLINK("http://www.aslscenarioarchive.com/viewPub.php?id=1700","Rivers to the Reich")</f>
        <v>Rivers to the Reich</v>
      </c>
      <c r="F74" s="28" t="str">
        <f>HYPERLINK("http://www.aslscenarioarchive.com/scenario.php?id=61794","U36")</f>
        <v>U36</v>
      </c>
      <c r="G74" s="20"/>
      <c r="H74" s="20"/>
      <c r="I74" s="16" t="s">
        <v>15</v>
      </c>
      <c r="J74" s="16" t="s">
        <v>168</v>
      </c>
      <c r="K74" s="17">
        <v>16351.0</v>
      </c>
      <c r="L74" s="16" t="s">
        <v>209</v>
      </c>
      <c r="M74" s="16"/>
    </row>
    <row r="75" ht="15.0" customHeight="1">
      <c r="A75" s="9">
        <v>29983.0</v>
      </c>
      <c r="B75" s="10" t="s">
        <v>184</v>
      </c>
      <c r="C75" s="11" t="s">
        <v>210</v>
      </c>
      <c r="D75" s="10" t="s">
        <v>211</v>
      </c>
      <c r="E75" s="27" t="str">
        <f t="shared" si="16"/>
        <v>Rivers to the Reich</v>
      </c>
      <c r="F75" s="28" t="str">
        <f>HYPERLINK("http://www.aslscenarioarchive.com/scenario.php?id=61795","U37")</f>
        <v>U37</v>
      </c>
      <c r="G75" s="20"/>
      <c r="H75" s="20"/>
      <c r="I75" s="16" t="s">
        <v>15</v>
      </c>
      <c r="J75" s="16" t="s">
        <v>118</v>
      </c>
      <c r="K75" s="17">
        <v>16370.0</v>
      </c>
      <c r="L75" s="16" t="s">
        <v>212</v>
      </c>
      <c r="M75" s="16"/>
    </row>
    <row r="76" ht="15.0" customHeight="1">
      <c r="A76" s="9">
        <v>29983.0</v>
      </c>
      <c r="B76" s="10" t="s">
        <v>184</v>
      </c>
      <c r="C76" s="11" t="s">
        <v>213</v>
      </c>
      <c r="D76" s="10" t="s">
        <v>214</v>
      </c>
      <c r="E76" s="27" t="str">
        <f t="shared" si="16"/>
        <v>Rivers to the Reich</v>
      </c>
      <c r="F76" s="28" t="str">
        <f>HYPERLINK("http://www.aslscenarioarchive.com/scenario.php?id=61796","U38")</f>
        <v>U38</v>
      </c>
      <c r="G76" s="20"/>
      <c r="H76" s="20"/>
      <c r="I76" s="16" t="s">
        <v>15</v>
      </c>
      <c r="J76" s="16" t="s">
        <v>215</v>
      </c>
      <c r="K76" s="17">
        <v>16346.0</v>
      </c>
      <c r="L76" s="16" t="s">
        <v>216</v>
      </c>
      <c r="M76" s="16"/>
    </row>
    <row r="77" ht="15.0" customHeight="1">
      <c r="A77" s="9">
        <v>29983.0</v>
      </c>
      <c r="B77" s="10" t="s">
        <v>184</v>
      </c>
      <c r="C77" s="11" t="s">
        <v>217</v>
      </c>
      <c r="D77" s="10" t="s">
        <v>218</v>
      </c>
      <c r="E77" s="27" t="str">
        <f t="shared" si="16"/>
        <v>Rivers to the Reich</v>
      </c>
      <c r="F77" s="28" t="str">
        <f>HYPERLINK("http://www.aslscenarioarchive.com/scenario.php?id=61798","U40")</f>
        <v>U40</v>
      </c>
      <c r="G77" s="20"/>
      <c r="H77" s="20"/>
      <c r="I77" s="16" t="s">
        <v>15</v>
      </c>
      <c r="J77" s="16" t="s">
        <v>168</v>
      </c>
      <c r="K77" s="17">
        <v>16369.0</v>
      </c>
      <c r="L77" s="16" t="s">
        <v>219</v>
      </c>
      <c r="M77" s="16"/>
    </row>
    <row r="78" ht="15.0" customHeight="1">
      <c r="A78" s="9">
        <v>29983.0</v>
      </c>
      <c r="B78" s="10" t="s">
        <v>184</v>
      </c>
      <c r="C78" s="11" t="s">
        <v>220</v>
      </c>
      <c r="D78" s="10" t="s">
        <v>221</v>
      </c>
      <c r="E78" s="27" t="str">
        <f t="shared" si="16"/>
        <v>Rivers to the Reich</v>
      </c>
      <c r="F78" s="28" t="str">
        <f>HYPERLINK("http://www.aslscenarioarchive.com/scenario.php?id=61799","U41")</f>
        <v>U41</v>
      </c>
      <c r="G78" s="20"/>
      <c r="H78" s="20"/>
      <c r="I78" s="16" t="s">
        <v>15</v>
      </c>
      <c r="J78" s="16" t="s">
        <v>118</v>
      </c>
      <c r="K78" s="17">
        <v>16377.0</v>
      </c>
      <c r="L78" s="16" t="s">
        <v>222</v>
      </c>
      <c r="M78" s="16"/>
    </row>
    <row r="79" ht="15.0" customHeight="1">
      <c r="A79" s="9">
        <v>29983.0</v>
      </c>
      <c r="B79" s="10" t="s">
        <v>184</v>
      </c>
      <c r="C79" s="11" t="s">
        <v>223</v>
      </c>
      <c r="D79" s="10" t="s">
        <v>224</v>
      </c>
      <c r="E79" s="12" t="str">
        <f>HYPERLINK("http://www.aslscenarioarchive.com/viewPub.php?id=737","ASL Annual `95 Winter")</f>
        <v>ASL Annual `95 Winter</v>
      </c>
      <c r="F79" s="13" t="str">
        <f>HYPERLINK("http://www.aslscenarioarchive.com/scenario.php?id=56332","A76")</f>
        <v>A76</v>
      </c>
      <c r="G79" s="20"/>
      <c r="H79" s="20"/>
      <c r="I79" s="16" t="s">
        <v>15</v>
      </c>
      <c r="J79" s="16" t="s">
        <v>27</v>
      </c>
      <c r="K79" s="17">
        <v>16229.0</v>
      </c>
      <c r="L79" s="16" t="s">
        <v>225</v>
      </c>
      <c r="M79" s="16"/>
    </row>
    <row r="80" ht="15.0" customHeight="1">
      <c r="A80" s="9">
        <v>30011.0</v>
      </c>
      <c r="B80" s="10" t="s">
        <v>226</v>
      </c>
      <c r="C80" s="11">
        <v>33.0</v>
      </c>
      <c r="D80" s="10" t="s">
        <v>227</v>
      </c>
      <c r="E80" s="12" t="str">
        <f t="shared" ref="E80:E83" si="17">HYPERLINK("http://www.aslscenarioarchive.com/viewPub.php?id=750","G.I.'s Dozen")</f>
        <v>G.I.'s Dozen</v>
      </c>
      <c r="F80" s="13" t="str">
        <f>HYPERLINK("http://www.aslscenarioarchive.com/scenario.php?id=56532","U9")</f>
        <v>U9</v>
      </c>
      <c r="G80" s="20"/>
      <c r="H80" s="20"/>
      <c r="I80" s="16" t="s">
        <v>27</v>
      </c>
      <c r="J80" s="16" t="s">
        <v>15</v>
      </c>
      <c r="K80" s="17">
        <v>16433.0</v>
      </c>
      <c r="L80" s="16" t="s">
        <v>228</v>
      </c>
      <c r="M80" s="16"/>
    </row>
    <row r="81" ht="15.0" customHeight="1">
      <c r="A81" s="9">
        <v>30011.0</v>
      </c>
      <c r="B81" s="10" t="s">
        <v>226</v>
      </c>
      <c r="C81" s="11">
        <v>34.0</v>
      </c>
      <c r="D81" s="10" t="s">
        <v>229</v>
      </c>
      <c r="E81" s="12" t="str">
        <f t="shared" si="17"/>
        <v>G.I.'s Dozen</v>
      </c>
      <c r="F81" s="13" t="str">
        <f>HYPERLINK("http://www.aslscenarioarchive.com/scenario.php?id=56527","U4")</f>
        <v>U4</v>
      </c>
      <c r="G81" s="20"/>
      <c r="H81" s="20"/>
      <c r="I81" s="16" t="s">
        <v>137</v>
      </c>
      <c r="J81" s="16" t="s">
        <v>230</v>
      </c>
      <c r="K81" s="17">
        <v>16335.0</v>
      </c>
      <c r="L81" s="16" t="s">
        <v>231</v>
      </c>
      <c r="M81" s="16"/>
    </row>
    <row r="82" ht="15.0" customHeight="1">
      <c r="A82" s="9">
        <v>30011.0</v>
      </c>
      <c r="B82" s="10" t="s">
        <v>226</v>
      </c>
      <c r="C82" s="11">
        <v>35.0</v>
      </c>
      <c r="D82" s="10" t="s">
        <v>232</v>
      </c>
      <c r="E82" s="12" t="str">
        <f t="shared" si="17"/>
        <v>G.I.'s Dozen</v>
      </c>
      <c r="F82" s="13" t="str">
        <f>HYPERLINK("http://www.aslscenarioarchive.com/scenario.php?id=56524","U1")</f>
        <v>U1</v>
      </c>
      <c r="G82" s="20"/>
      <c r="H82" s="20"/>
      <c r="I82" s="16" t="s">
        <v>110</v>
      </c>
      <c r="J82" s="16" t="s">
        <v>27</v>
      </c>
      <c r="K82" s="17">
        <v>15655.0</v>
      </c>
      <c r="L82" s="16" t="s">
        <v>233</v>
      </c>
      <c r="M82" s="23" t="s">
        <v>114</v>
      </c>
    </row>
    <row r="83" ht="15.0" customHeight="1">
      <c r="A83" s="9">
        <v>30011.0</v>
      </c>
      <c r="B83" s="10" t="s">
        <v>226</v>
      </c>
      <c r="C83" s="11">
        <v>36.0</v>
      </c>
      <c r="D83" s="10" t="s">
        <v>234</v>
      </c>
      <c r="E83" s="12" t="str">
        <f t="shared" si="17"/>
        <v>G.I.'s Dozen</v>
      </c>
      <c r="F83" s="13" t="str">
        <f>HYPERLINK("http://www.aslscenarioarchive.com/scenario.php?id=56531","U8")</f>
        <v>U8</v>
      </c>
      <c r="G83" s="20"/>
      <c r="H83" s="20"/>
      <c r="I83" s="16" t="s">
        <v>27</v>
      </c>
      <c r="J83" s="16" t="s">
        <v>15</v>
      </c>
      <c r="K83" s="17">
        <v>16422.0</v>
      </c>
      <c r="L83" s="16" t="s">
        <v>235</v>
      </c>
      <c r="M83" s="16"/>
    </row>
    <row r="84" ht="15.0" customHeight="1">
      <c r="A84" s="9">
        <v>30011.0</v>
      </c>
      <c r="B84" s="10" t="s">
        <v>226</v>
      </c>
      <c r="C84" s="11">
        <v>37.0</v>
      </c>
      <c r="D84" s="10" t="s">
        <v>236</v>
      </c>
      <c r="E84" s="12" t="str">
        <f>HYPERLINK("http://www.aslscenarioarchive.com/viewPub.php?id=737","ASL Annual `95 Winter")</f>
        <v>ASL Annual `95 Winter</v>
      </c>
      <c r="F84" s="13" t="str">
        <f>HYPERLINK("http://www.aslscenarioarchive.com/scenario.php?id=56331","A75")</f>
        <v>A75</v>
      </c>
      <c r="G84" s="20"/>
      <c r="H84" s="20"/>
      <c r="I84" s="16" t="s">
        <v>27</v>
      </c>
      <c r="J84" s="16" t="s">
        <v>137</v>
      </c>
      <c r="K84" s="17">
        <v>16336.0</v>
      </c>
      <c r="L84" s="16" t="s">
        <v>231</v>
      </c>
      <c r="M84" s="16"/>
    </row>
    <row r="85" ht="15.0" customHeight="1">
      <c r="A85" s="9">
        <v>30011.0</v>
      </c>
      <c r="B85" s="10" t="s">
        <v>226</v>
      </c>
      <c r="C85" s="11">
        <v>38.0</v>
      </c>
      <c r="D85" s="10" t="s">
        <v>237</v>
      </c>
      <c r="E85" s="12" t="str">
        <f t="shared" ref="E85:E86" si="18">HYPERLINK("http://www.aslscenarioarchive.com/viewPub.php?id=750","G.I.'s Dozen")</f>
        <v>G.I.'s Dozen</v>
      </c>
      <c r="F85" s="13" t="str">
        <f>HYPERLINK("http://www.aslscenarioarchive.com/scenario.php?id=56526","U3")</f>
        <v>U3</v>
      </c>
      <c r="G85" s="20"/>
      <c r="H85" s="20"/>
      <c r="I85" s="16" t="s">
        <v>15</v>
      </c>
      <c r="J85" s="16" t="s">
        <v>27</v>
      </c>
      <c r="K85" s="17">
        <v>16113.0</v>
      </c>
      <c r="L85" s="16" t="s">
        <v>238</v>
      </c>
      <c r="M85" s="16"/>
    </row>
    <row r="86" ht="15.0" customHeight="1">
      <c r="A86" s="9">
        <v>30011.0</v>
      </c>
      <c r="B86" s="10" t="s">
        <v>226</v>
      </c>
      <c r="C86" s="11">
        <v>39.0</v>
      </c>
      <c r="D86" s="10" t="s">
        <v>239</v>
      </c>
      <c r="E86" s="12" t="str">
        <f t="shared" si="18"/>
        <v>G.I.'s Dozen</v>
      </c>
      <c r="F86" s="13" t="str">
        <f>HYPERLINK("http://www.aslscenarioarchive.com/scenario.php?id=56525","U2")</f>
        <v>U2</v>
      </c>
      <c r="G86" s="20"/>
      <c r="H86" s="20"/>
      <c r="I86" s="16" t="s">
        <v>27</v>
      </c>
      <c r="J86" s="16" t="s">
        <v>15</v>
      </c>
      <c r="K86" s="17">
        <v>15624.0</v>
      </c>
      <c r="L86" s="16" t="s">
        <v>240</v>
      </c>
      <c r="M86" s="16"/>
    </row>
    <row r="87" ht="15.0" customHeight="1">
      <c r="A87" s="9">
        <v>30011.0</v>
      </c>
      <c r="B87" s="10" t="s">
        <v>226</v>
      </c>
      <c r="C87" s="11">
        <v>40.0</v>
      </c>
      <c r="D87" s="10" t="s">
        <v>241</v>
      </c>
      <c r="E87" s="27" t="str">
        <f>HYPERLINK("http://www.aslscenarioarchive.com/viewPub.php?id=1700","Rivers to the Reich")</f>
        <v>Rivers to the Reich</v>
      </c>
      <c r="F87" s="28" t="str">
        <f>HYPERLINK("http://www.aslscenarioarchive.com/scenario.php?id=61792","U34")</f>
        <v>U34</v>
      </c>
      <c r="G87" s="20"/>
      <c r="H87" s="20"/>
      <c r="I87" s="16" t="s">
        <v>27</v>
      </c>
      <c r="J87" s="16" t="s">
        <v>15</v>
      </c>
      <c r="K87" s="17">
        <v>16325.0</v>
      </c>
      <c r="L87" s="16" t="s">
        <v>242</v>
      </c>
      <c r="M87" s="16"/>
    </row>
    <row r="88" ht="15.0" customHeight="1">
      <c r="A88" s="9">
        <v>30011.0</v>
      </c>
      <c r="B88" s="10" t="s">
        <v>226</v>
      </c>
      <c r="C88" s="11">
        <v>41.0</v>
      </c>
      <c r="D88" s="10" t="s">
        <v>243</v>
      </c>
      <c r="E88" s="12" t="str">
        <f>HYPERLINK("http://www.aslscenarioarchive.com/viewPub.php?id=1541","Turning the Tide")</f>
        <v>Turning the Tide</v>
      </c>
      <c r="F88" s="13" t="str">
        <f>HYPERLINK("http://www.aslscenarioarchive.com/scenario.php?id=60422","U30")</f>
        <v>U30</v>
      </c>
      <c r="G88" s="20"/>
      <c r="H88" s="20"/>
      <c r="I88" s="16" t="s">
        <v>27</v>
      </c>
      <c r="J88" s="16" t="s">
        <v>15</v>
      </c>
      <c r="K88" s="17">
        <v>15898.0</v>
      </c>
      <c r="L88" s="16" t="s">
        <v>244</v>
      </c>
      <c r="M88" s="16"/>
    </row>
    <row r="89" ht="15.0" customHeight="1">
      <c r="A89" s="9">
        <v>30011.0</v>
      </c>
      <c r="B89" s="10" t="s">
        <v>226</v>
      </c>
      <c r="C89" s="11">
        <v>42.0</v>
      </c>
      <c r="D89" s="10" t="s">
        <v>245</v>
      </c>
      <c r="E89" s="27" t="str">
        <f>HYPERLINK("http://www.aslscenarioarchive.com/viewPub.php?id=1700","Rivers to the Reich")</f>
        <v>Rivers to the Reich</v>
      </c>
      <c r="F89" s="28" t="str">
        <f>HYPERLINK("http://www.aslscenarioarchive.com/scenario.php?id=61803","U45")</f>
        <v>U45</v>
      </c>
      <c r="G89" s="20"/>
      <c r="H89" s="20"/>
      <c r="I89" s="16" t="s">
        <v>15</v>
      </c>
      <c r="J89" s="16" t="s">
        <v>118</v>
      </c>
      <c r="K89" s="17">
        <v>16520.0</v>
      </c>
      <c r="L89" s="16" t="s">
        <v>246</v>
      </c>
      <c r="M89" s="16"/>
    </row>
    <row r="90" ht="15.0" customHeight="1">
      <c r="A90" s="9">
        <v>30011.0</v>
      </c>
      <c r="B90" s="10" t="s">
        <v>226</v>
      </c>
      <c r="C90" s="11">
        <v>43.0</v>
      </c>
      <c r="D90" s="10" t="s">
        <v>247</v>
      </c>
      <c r="E90" s="12" t="str">
        <f>HYPERLINK("http://www.aslscenarioarchive.com/viewPub.php?id=750","G.I.'s Dozen")</f>
        <v>G.I.'s Dozen</v>
      </c>
      <c r="F90" s="13" t="str">
        <f>HYPERLINK("http://www.aslscenarioarchive.com/scenario.php?id=56529","U6")</f>
        <v>U6</v>
      </c>
      <c r="G90" s="20"/>
      <c r="H90" s="20"/>
      <c r="I90" s="16" t="s">
        <v>27</v>
      </c>
      <c r="J90" s="16" t="s">
        <v>15</v>
      </c>
      <c r="K90" s="17">
        <v>16380.0</v>
      </c>
      <c r="L90" s="16" t="s">
        <v>248</v>
      </c>
      <c r="M90" s="16"/>
    </row>
    <row r="91" ht="15.0" customHeight="1">
      <c r="A91" s="9">
        <v>30011.0</v>
      </c>
      <c r="B91" s="10" t="s">
        <v>226</v>
      </c>
      <c r="C91" s="11">
        <v>44.0</v>
      </c>
      <c r="D91" s="10" t="s">
        <v>249</v>
      </c>
      <c r="E91" s="12" t="str">
        <f t="shared" ref="E91:E92" si="19">HYPERLINK("http://www.aslscenarioarchive.com/viewPub.php?id=737","ASL Annual `95 Winter")</f>
        <v>ASL Annual `95 Winter</v>
      </c>
      <c r="F91" s="13" t="str">
        <f>HYPERLINK("http://www.aslscenarioarchive.com/scenario.php?id=56334","A78")</f>
        <v>A78</v>
      </c>
      <c r="G91" s="20"/>
      <c r="H91" s="20"/>
      <c r="I91" s="16" t="s">
        <v>15</v>
      </c>
      <c r="J91" s="16" t="s">
        <v>27</v>
      </c>
      <c r="K91" s="17">
        <v>16260.0</v>
      </c>
      <c r="L91" s="16" t="s">
        <v>250</v>
      </c>
      <c r="M91" s="16"/>
    </row>
    <row r="92" ht="15.0" customHeight="1">
      <c r="A92" s="9">
        <v>30011.0</v>
      </c>
      <c r="B92" s="10" t="s">
        <v>226</v>
      </c>
      <c r="C92" s="11">
        <v>45.0</v>
      </c>
      <c r="D92" s="10" t="s">
        <v>251</v>
      </c>
      <c r="E92" s="12" t="str">
        <f t="shared" si="19"/>
        <v>ASL Annual `95 Winter</v>
      </c>
      <c r="F92" s="13" t="str">
        <f>HYPERLINK("http://www.aslscenarioarchive.com/scenario.php?id=56333","A77")</f>
        <v>A77</v>
      </c>
      <c r="G92" s="20"/>
      <c r="H92" s="20"/>
      <c r="I92" s="16" t="s">
        <v>15</v>
      </c>
      <c r="J92" s="16" t="s">
        <v>27</v>
      </c>
      <c r="K92" s="17">
        <v>16230.0</v>
      </c>
      <c r="L92" s="16" t="s">
        <v>252</v>
      </c>
      <c r="M92" s="16"/>
    </row>
    <row r="93" ht="15.0" customHeight="1">
      <c r="A93" s="9">
        <v>30011.0</v>
      </c>
      <c r="B93" s="10" t="s">
        <v>226</v>
      </c>
      <c r="C93" s="11">
        <v>46.0</v>
      </c>
      <c r="D93" s="10" t="s">
        <v>253</v>
      </c>
      <c r="E93" s="27" t="str">
        <f t="shared" ref="E93:E94" si="20">HYPERLINK("http://www.aslscenarioarchive.com/viewPub.php?id=1700","Rivers to the Reich")</f>
        <v>Rivers to the Reich</v>
      </c>
      <c r="F93" s="28" t="str">
        <f>HYPERLINK("http://www.aslscenarioarchive.com/scenario.php?id=61802","U44")</f>
        <v>U44</v>
      </c>
      <c r="G93" s="20"/>
      <c r="H93" s="20"/>
      <c r="I93" s="16" t="s">
        <v>15</v>
      </c>
      <c r="J93" s="16" t="s">
        <v>27</v>
      </c>
      <c r="K93" s="17">
        <v>16520.0</v>
      </c>
      <c r="L93" s="16" t="s">
        <v>254</v>
      </c>
      <c r="M93" s="16"/>
    </row>
    <row r="94" ht="15.0" customHeight="1">
      <c r="A94" s="9">
        <v>30011.0</v>
      </c>
      <c r="B94" s="10" t="s">
        <v>226</v>
      </c>
      <c r="C94" s="11">
        <v>47.0</v>
      </c>
      <c r="D94" s="10" t="s">
        <v>255</v>
      </c>
      <c r="E94" s="27" t="str">
        <f t="shared" si="20"/>
        <v>Rivers to the Reich</v>
      </c>
      <c r="F94" s="28" t="str">
        <f>HYPERLINK("http://www.aslscenarioarchive.com/scenario.php?id=61804","U46")</f>
        <v>U46</v>
      </c>
      <c r="G94" s="20"/>
      <c r="H94" s="20"/>
      <c r="I94" s="16" t="s">
        <v>137</v>
      </c>
      <c r="J94" s="16" t="s">
        <v>27</v>
      </c>
      <c r="K94" s="17">
        <v>16526.0</v>
      </c>
      <c r="L94" s="16" t="s">
        <v>256</v>
      </c>
      <c r="M94" s="16"/>
    </row>
    <row r="95" ht="15.0" customHeight="1">
      <c r="A95" s="22">
        <v>30317.0</v>
      </c>
      <c r="B95" s="10" t="s">
        <v>257</v>
      </c>
      <c r="C95" s="11" t="s">
        <v>258</v>
      </c>
      <c r="D95" s="10" t="s">
        <v>259</v>
      </c>
      <c r="E95" s="12" t="str">
        <f>HYPERLINK("http://www.aslscenarioarchive.com/viewPub.php?id=703","Beyond Valor 3rd Ed")</f>
        <v>Beyond Valor 3rd Ed</v>
      </c>
      <c r="F95" s="13">
        <f>HYPERLINK("http://www.aslscenarioarchive.com/scenario.php?id=56090",125)</f>
        <v>125</v>
      </c>
      <c r="G95" s="14" t="str">
        <f>HYPERLINK("http://www.aslscenarioarchive.com/scenario.php?id=56565","M (The General 25.3)")</f>
        <v>M (The General 25.3)</v>
      </c>
      <c r="H95" s="15"/>
      <c r="I95" s="16" t="s">
        <v>15</v>
      </c>
      <c r="J95" s="16" t="s">
        <v>16</v>
      </c>
      <c r="K95" s="17">
        <v>15152.0</v>
      </c>
      <c r="L95" s="16" t="s">
        <v>260</v>
      </c>
      <c r="M95" s="16"/>
    </row>
    <row r="96" ht="15.0" customHeight="1">
      <c r="A96" s="22">
        <v>30317.0</v>
      </c>
      <c r="B96" s="10" t="s">
        <v>257</v>
      </c>
      <c r="C96" s="11" t="s">
        <v>261</v>
      </c>
      <c r="D96" s="10" t="s">
        <v>262</v>
      </c>
      <c r="E96" s="12" t="str">
        <f>HYPERLINK("http://www.aslscenarioarchive.com/viewPub.php?id=746","ASL Journal # 5")</f>
        <v>ASL Journal # 5</v>
      </c>
      <c r="F96" s="13" t="str">
        <f>HYPERLINK("http://www.aslscenarioarchive.com/scenario.php?id=56485","J82")</f>
        <v>J82</v>
      </c>
      <c r="G96" s="14" t="str">
        <f>HYPERLINK("http://www.aslscenarioarchive.com/scenario.php?id=56572","T (The General 29.6)")</f>
        <v>T (The General 29.6)</v>
      </c>
      <c r="H96" s="15"/>
      <c r="I96" s="16" t="s">
        <v>16</v>
      </c>
      <c r="J96" s="16" t="s">
        <v>15</v>
      </c>
      <c r="K96" s="17">
        <v>15634.0</v>
      </c>
      <c r="L96" s="16" t="s">
        <v>17</v>
      </c>
      <c r="M96" s="16"/>
    </row>
    <row r="97" ht="15.0" customHeight="1">
      <c r="A97" s="22">
        <v>30317.0</v>
      </c>
      <c r="B97" s="10" t="s">
        <v>257</v>
      </c>
      <c r="C97" s="11" t="s">
        <v>263</v>
      </c>
      <c r="D97" s="10" t="s">
        <v>264</v>
      </c>
      <c r="E97" s="12" t="str">
        <f>HYPERLINK("http://www.aslscenarioarchive.com/viewPub.php?id=703","Beyond Valor 3rd Ed")</f>
        <v>Beyond Valor 3rd Ed</v>
      </c>
      <c r="F97" s="13">
        <f>HYPERLINK("http://www.aslscenarioarchive.com/scenario.php?id=56092",127)</f>
        <v>127</v>
      </c>
      <c r="G97" s="14" t="str">
        <f>HYPERLINK("http://www.aslscenarioarchive.com/scenario.php?id=56569","Q (The General 26.2)")</f>
        <v>Q (The General 26.2)</v>
      </c>
      <c r="H97" s="15"/>
      <c r="I97" s="16" t="s">
        <v>16</v>
      </c>
      <c r="J97" s="16" t="s">
        <v>15</v>
      </c>
      <c r="K97" s="17">
        <v>15160.0</v>
      </c>
      <c r="L97" s="16" t="s">
        <v>265</v>
      </c>
      <c r="M97" s="16"/>
    </row>
    <row r="98" ht="15.0" customHeight="1">
      <c r="A98" s="22">
        <v>30317.0</v>
      </c>
      <c r="B98" s="10" t="s">
        <v>257</v>
      </c>
      <c r="C98" s="11" t="s">
        <v>266</v>
      </c>
      <c r="D98" s="10" t="s">
        <v>267</v>
      </c>
      <c r="E98" s="12" t="str">
        <f>HYPERLINK("http://www.aslscenarioarchive.com/viewPub.php?id=759","The General 25.6")</f>
        <v>The General 25.6</v>
      </c>
      <c r="F98" s="13" t="str">
        <f>HYPERLINK("http://www.aslscenarioarchive.com/scenario.php?id=56566","N")</f>
        <v>N</v>
      </c>
      <c r="G98" s="20"/>
      <c r="H98" s="20"/>
      <c r="I98" s="16" t="s">
        <v>15</v>
      </c>
      <c r="J98" s="16" t="s">
        <v>16</v>
      </c>
      <c r="K98" s="17">
        <v>16355.0</v>
      </c>
      <c r="L98" s="16" t="s">
        <v>268</v>
      </c>
      <c r="M98" s="16"/>
    </row>
    <row r="99" ht="15.0" customHeight="1">
      <c r="A99" s="22">
        <v>30376.0</v>
      </c>
      <c r="B99" s="10" t="s">
        <v>269</v>
      </c>
      <c r="C99" s="11" t="s">
        <v>270</v>
      </c>
      <c r="D99" s="10" t="s">
        <v>271</v>
      </c>
      <c r="E99" s="12" t="str">
        <f>HYPERLINK("http://www.aslscenarioarchive.com/viewPub.php?id=738","ASL Annual `96")</f>
        <v>ASL Annual `96</v>
      </c>
      <c r="F99" s="13" t="str">
        <f>HYPERLINK("http://www.aslscenarioarchive.com/scenario.php?id=56350","A93")</f>
        <v>A93</v>
      </c>
      <c r="G99" s="20"/>
      <c r="H99" s="20"/>
      <c r="I99" s="16" t="s">
        <v>15</v>
      </c>
      <c r="J99" s="16" t="s">
        <v>118</v>
      </c>
      <c r="K99" s="17">
        <v>16208.0</v>
      </c>
      <c r="L99" s="16" t="s">
        <v>272</v>
      </c>
      <c r="M99" s="16"/>
    </row>
    <row r="100" ht="15.0" customHeight="1">
      <c r="A100" s="22">
        <v>30498.0</v>
      </c>
      <c r="B100" s="10" t="s">
        <v>273</v>
      </c>
      <c r="C100" s="11">
        <v>1000.0</v>
      </c>
      <c r="D100" s="10" t="s">
        <v>274</v>
      </c>
      <c r="E100" s="12" t="str">
        <f>HYPERLINK("http://www.aslscenarioarchive.com/viewPub.php?id=747","ASL Journal # 6")</f>
        <v>ASL Journal # 6</v>
      </c>
      <c r="F100" s="29" t="s">
        <v>275</v>
      </c>
      <c r="G100" s="30"/>
      <c r="H100" s="30"/>
      <c r="I100" s="16" t="s">
        <v>15</v>
      </c>
      <c r="J100" s="16" t="s">
        <v>118</v>
      </c>
      <c r="K100" s="17">
        <v>15902.0</v>
      </c>
      <c r="L100" s="16" t="s">
        <v>276</v>
      </c>
      <c r="M100" s="16"/>
    </row>
    <row r="101" ht="15.0" customHeight="1">
      <c r="A101" s="22">
        <v>30621.0</v>
      </c>
      <c r="B101" s="10" t="s">
        <v>277</v>
      </c>
      <c r="C101" s="11" t="s">
        <v>278</v>
      </c>
      <c r="D101" s="10" t="s">
        <v>279</v>
      </c>
      <c r="E101" s="19" t="str">
        <f>HYPERLINK("http://www.aslscenarioarchive.com/viewPub.php?id=1870","Yanks 2nd Ed")</f>
        <v>Yanks 2nd Ed</v>
      </c>
      <c r="F101" s="21" t="str">
        <f>HYPERLINK("http://www.aslscenarioarchive.com/scenario.php?id=62793","182")</f>
        <v>182</v>
      </c>
      <c r="G101" s="18" t="str">
        <f>HYPERLINK("http://www.aslscenarioarchive.com/scenario.php?id=56637","T16 (The General 29.1)")</f>
        <v>T16 (The General 29.1)</v>
      </c>
      <c r="H101" s="20"/>
      <c r="I101" s="16" t="s">
        <v>15</v>
      </c>
      <c r="J101" s="16" t="s">
        <v>27</v>
      </c>
      <c r="K101" s="17">
        <v>16229.0</v>
      </c>
      <c r="L101" s="16" t="s">
        <v>280</v>
      </c>
      <c r="M101" s="16"/>
    </row>
    <row r="102" ht="15.0" customHeight="1">
      <c r="A102" s="9">
        <v>30651.0</v>
      </c>
      <c r="B102" s="10" t="s">
        <v>281</v>
      </c>
      <c r="C102" s="11">
        <v>300.0</v>
      </c>
      <c r="D102" s="10" t="s">
        <v>282</v>
      </c>
      <c r="E102" s="12" t="str">
        <f>HYPERLINK("http://www.aslscenarioarchive.com/viewPub.php?id=750","G.I.'s Dozen")</f>
        <v>G.I.'s Dozen</v>
      </c>
      <c r="F102" s="13" t="str">
        <f>HYPERLINK("http://www.aslscenarioarchive.com/scenario.php?id=56533","U10")</f>
        <v>U10</v>
      </c>
      <c r="G102" s="20"/>
      <c r="H102" s="20"/>
      <c r="I102" s="16" t="s">
        <v>15</v>
      </c>
      <c r="J102" s="16" t="s">
        <v>27</v>
      </c>
      <c r="K102" s="17">
        <v>16495.0</v>
      </c>
      <c r="L102" s="16" t="s">
        <v>283</v>
      </c>
      <c r="M102" s="16"/>
    </row>
    <row r="103" ht="15.0" customHeight="1">
      <c r="A103" s="9">
        <v>30651.0</v>
      </c>
      <c r="B103" s="10" t="s">
        <v>281</v>
      </c>
      <c r="C103" s="11">
        <v>301.0</v>
      </c>
      <c r="D103" s="10" t="s">
        <v>284</v>
      </c>
      <c r="E103" s="27" t="str">
        <f t="shared" ref="E103:E104" si="21">HYPERLINK("http://www.aslscenarioarchive.com/viewPub.php?id=1700","Rivers to the Reich")</f>
        <v>Rivers to the Reich</v>
      </c>
      <c r="F103" s="28" t="str">
        <f>HYPERLINK("http://www.aslscenarioarchive.com/scenario.php?id=61797","U39")</f>
        <v>U39</v>
      </c>
      <c r="G103" s="20"/>
      <c r="H103" s="20"/>
      <c r="I103" s="16" t="s">
        <v>15</v>
      </c>
      <c r="J103" s="16" t="s">
        <v>27</v>
      </c>
      <c r="K103" s="17">
        <v>16355.0</v>
      </c>
      <c r="L103" s="16" t="s">
        <v>285</v>
      </c>
      <c r="M103" s="16"/>
    </row>
    <row r="104" ht="15.0" customHeight="1">
      <c r="A104" s="9">
        <v>30651.0</v>
      </c>
      <c r="B104" s="10" t="s">
        <v>281</v>
      </c>
      <c r="C104" s="11">
        <v>302.0</v>
      </c>
      <c r="D104" s="10" t="s">
        <v>286</v>
      </c>
      <c r="E104" s="27" t="str">
        <f t="shared" si="21"/>
        <v>Rivers to the Reich</v>
      </c>
      <c r="F104" s="28" t="str">
        <f>HYPERLINK("http://www.aslscenarioarchive.com/scenario.php?id=61800","U42")</f>
        <v>U42</v>
      </c>
      <c r="G104" s="20"/>
      <c r="H104" s="20"/>
      <c r="I104" s="16" t="s">
        <v>15</v>
      </c>
      <c r="J104" s="16" t="s">
        <v>27</v>
      </c>
      <c r="K104" s="17">
        <v>16416.0</v>
      </c>
      <c r="L104" s="16" t="s">
        <v>287</v>
      </c>
      <c r="M104" s="16"/>
    </row>
    <row r="105" ht="15.0" customHeight="1">
      <c r="A105" s="9">
        <v>30651.0</v>
      </c>
      <c r="B105" s="10" t="s">
        <v>281</v>
      </c>
      <c r="C105" s="11">
        <v>303.0</v>
      </c>
      <c r="D105" s="10" t="s">
        <v>288</v>
      </c>
      <c r="E105" s="12" t="str">
        <f t="shared" ref="E105:E107" si="22">HYPERLINK("http://www.aslscenarioarchive.com/viewPub.php?id=750","G.I.'s Dozen")</f>
        <v>G.I.'s Dozen</v>
      </c>
      <c r="F105" s="13" t="str">
        <f>HYPERLINK("http://www.aslscenarioarchive.com/scenario.php?id=56534","U11")</f>
        <v>U11</v>
      </c>
      <c r="G105" s="20"/>
      <c r="H105" s="20"/>
      <c r="I105" s="16" t="s">
        <v>27</v>
      </c>
      <c r="J105" s="16" t="s">
        <v>137</v>
      </c>
      <c r="K105" s="17">
        <v>16511.0</v>
      </c>
      <c r="L105" s="16" t="s">
        <v>289</v>
      </c>
      <c r="M105" s="16"/>
    </row>
    <row r="106" ht="15.0" customHeight="1">
      <c r="A106" s="9">
        <v>30651.0</v>
      </c>
      <c r="B106" s="10" t="s">
        <v>281</v>
      </c>
      <c r="C106" s="11">
        <v>304.0</v>
      </c>
      <c r="D106" s="10" t="s">
        <v>290</v>
      </c>
      <c r="E106" s="12" t="str">
        <f t="shared" si="22"/>
        <v>G.I.'s Dozen</v>
      </c>
      <c r="F106" s="13" t="str">
        <f>HYPERLINK("http://www.aslscenarioarchive.com/scenario.php?id=56535","U12")</f>
        <v>U12</v>
      </c>
      <c r="G106" s="20"/>
      <c r="H106" s="20"/>
      <c r="I106" s="16" t="s">
        <v>27</v>
      </c>
      <c r="J106" s="16" t="s">
        <v>15</v>
      </c>
      <c r="K106" s="17">
        <v>16511.0</v>
      </c>
      <c r="L106" s="16" t="s">
        <v>289</v>
      </c>
      <c r="M106" s="16"/>
    </row>
    <row r="107" ht="15.0" customHeight="1">
      <c r="A107" s="9">
        <v>30651.0</v>
      </c>
      <c r="B107" s="10" t="s">
        <v>281</v>
      </c>
      <c r="C107" s="11">
        <v>305.0</v>
      </c>
      <c r="D107" s="10" t="s">
        <v>291</v>
      </c>
      <c r="E107" s="12" t="str">
        <f t="shared" si="22"/>
        <v>G.I.'s Dozen</v>
      </c>
      <c r="F107" s="13" t="str">
        <f>HYPERLINK("http://www.aslscenarioarchive.com/scenario.php?id=56536","U13")</f>
        <v>U13</v>
      </c>
      <c r="G107" s="20"/>
      <c r="H107" s="20"/>
      <c r="I107" s="16" t="s">
        <v>27</v>
      </c>
      <c r="J107" s="16" t="s">
        <v>137</v>
      </c>
      <c r="K107" s="17">
        <v>16511.0</v>
      </c>
      <c r="L107" s="16" t="s">
        <v>289</v>
      </c>
      <c r="M107" s="16"/>
    </row>
    <row r="108" ht="15.0" customHeight="1">
      <c r="A108" s="9">
        <v>30651.0</v>
      </c>
      <c r="B108" s="10" t="s">
        <v>281</v>
      </c>
      <c r="C108" s="11">
        <v>306.0</v>
      </c>
      <c r="D108" s="10" t="s">
        <v>292</v>
      </c>
      <c r="E108" s="27" t="str">
        <f>HYPERLINK("http://www.aslscenarioarchive.com/viewPub.php?id=1700","Rivers to the Reich")</f>
        <v>Rivers to the Reich</v>
      </c>
      <c r="F108" s="28" t="str">
        <f>HYPERLINK("http://www.aslscenarioarchive.com/scenario.php?id=61806","U48")</f>
        <v>U48</v>
      </c>
      <c r="G108" s="20"/>
      <c r="H108" s="20"/>
      <c r="I108" s="16" t="s">
        <v>15</v>
      </c>
      <c r="J108" s="16" t="s">
        <v>27</v>
      </c>
      <c r="K108" s="17">
        <v>16539.0</v>
      </c>
      <c r="L108" s="16" t="s">
        <v>293</v>
      </c>
      <c r="M108" s="16"/>
    </row>
    <row r="109" ht="15.0" customHeight="1">
      <c r="A109" s="9">
        <v>30651.0</v>
      </c>
      <c r="B109" s="10" t="s">
        <v>281</v>
      </c>
      <c r="C109" s="11">
        <v>307.0</v>
      </c>
      <c r="D109" s="10" t="s">
        <v>294</v>
      </c>
      <c r="E109" s="12" t="str">
        <f t="shared" ref="E109:E110" si="23">HYPERLINK("http://www.aslscenarioarchive.com/viewPub.php?id=750","G.I.'s Dozen")</f>
        <v>G.I.'s Dozen</v>
      </c>
      <c r="F109" s="13" t="str">
        <f>HYPERLINK("http://www.aslscenarioarchive.com/scenario.php?id=56528","U5")</f>
        <v>U5</v>
      </c>
      <c r="G109" s="20"/>
      <c r="H109" s="20"/>
      <c r="I109" s="16" t="s">
        <v>27</v>
      </c>
      <c r="J109" s="16" t="s">
        <v>15</v>
      </c>
      <c r="K109" s="17">
        <v>16354.0</v>
      </c>
      <c r="L109" s="16" t="s">
        <v>295</v>
      </c>
      <c r="M109" s="16"/>
    </row>
    <row r="110" ht="15.0" customHeight="1">
      <c r="A110" s="9">
        <v>30651.0</v>
      </c>
      <c r="B110" s="10" t="s">
        <v>281</v>
      </c>
      <c r="C110" s="11">
        <v>308.0</v>
      </c>
      <c r="D110" s="10" t="s">
        <v>296</v>
      </c>
      <c r="E110" s="12" t="str">
        <f t="shared" si="23"/>
        <v>G.I.'s Dozen</v>
      </c>
      <c r="F110" s="13" t="str">
        <f>HYPERLINK("http://www.aslscenarioarchive.com/scenario.php?id=56530","U7")</f>
        <v>U7</v>
      </c>
      <c r="G110" s="20"/>
      <c r="H110" s="20"/>
      <c r="I110" s="16" t="s">
        <v>27</v>
      </c>
      <c r="J110" s="16" t="s">
        <v>15</v>
      </c>
      <c r="K110" s="17">
        <v>16387.0</v>
      </c>
      <c r="L110" s="16" t="s">
        <v>297</v>
      </c>
      <c r="M110" s="16"/>
    </row>
    <row r="111" ht="15.0" customHeight="1">
      <c r="A111" s="9">
        <v>30651.0</v>
      </c>
      <c r="B111" s="10" t="s">
        <v>281</v>
      </c>
      <c r="C111" s="11">
        <v>309.0</v>
      </c>
      <c r="D111" s="10" t="s">
        <v>298</v>
      </c>
      <c r="E111" s="27" t="str">
        <f>HYPERLINK("http://www.aslscenarioarchive.com/viewPub.php?id=1700","Rivers to the Reich")</f>
        <v>Rivers to the Reich</v>
      </c>
      <c r="F111" s="28" t="str">
        <f>HYPERLINK("http://www.aslscenarioarchive.com/scenario.php?id=61801","U43")</f>
        <v>U43</v>
      </c>
      <c r="G111" s="20"/>
      <c r="H111" s="20"/>
      <c r="I111" s="16" t="s">
        <v>15</v>
      </c>
      <c r="J111" s="16" t="s">
        <v>27</v>
      </c>
      <c r="K111" s="31">
        <v>16491.0</v>
      </c>
      <c r="L111" s="16" t="s">
        <v>299</v>
      </c>
      <c r="M111" s="16"/>
    </row>
    <row r="112" ht="15.0" customHeight="1">
      <c r="A112" s="22">
        <v>30864.0</v>
      </c>
      <c r="B112" s="10" t="s">
        <v>300</v>
      </c>
      <c r="C112" s="11" t="s">
        <v>301</v>
      </c>
      <c r="D112" s="10" t="s">
        <v>302</v>
      </c>
      <c r="E112" s="12" t="str">
        <f>HYPERLINK("http://www.aslscenarioarchive.com/viewPub.php?id=794","The General 27.3")</f>
        <v>The General 27.3</v>
      </c>
      <c r="F112" s="13" t="str">
        <f>HYPERLINK("http://www.aslscenarioarchive.com/scenario.php?id=56629","T8")</f>
        <v>T8</v>
      </c>
      <c r="G112" s="20"/>
      <c r="H112" s="20"/>
      <c r="I112" s="16" t="s">
        <v>15</v>
      </c>
      <c r="J112" s="16" t="s">
        <v>27</v>
      </c>
      <c r="K112" s="17">
        <v>16360.0</v>
      </c>
      <c r="L112" s="16" t="s">
        <v>303</v>
      </c>
      <c r="M112" s="16"/>
    </row>
    <row r="113" ht="15.0" customHeight="1">
      <c r="A113" s="22">
        <v>30926.0</v>
      </c>
      <c r="B113" s="10" t="s">
        <v>304</v>
      </c>
      <c r="C113" s="11" t="s">
        <v>305</v>
      </c>
      <c r="D113" s="10" t="s">
        <v>306</v>
      </c>
      <c r="E113" s="12" t="str">
        <f>HYPERLINK("http://www.aslscenarioarchive.com/viewPub.php?id=797","The General 28.6")</f>
        <v>The General 28.6</v>
      </c>
      <c r="F113" s="13" t="str">
        <f>HYPERLINK("http://www.aslscenarioarchive.com/scenario.php?id=56635","T14")</f>
        <v>T14</v>
      </c>
      <c r="G113" s="20"/>
      <c r="H113" s="20"/>
      <c r="I113" s="16" t="s">
        <v>307</v>
      </c>
      <c r="J113" s="16" t="s">
        <v>15</v>
      </c>
      <c r="K113" s="17">
        <v>15117.0</v>
      </c>
      <c r="L113" s="16" t="s">
        <v>308</v>
      </c>
      <c r="M113" s="16"/>
    </row>
    <row r="114" ht="15.0" customHeight="1">
      <c r="A114" s="22">
        <v>30987.0</v>
      </c>
      <c r="B114" s="10" t="s">
        <v>309</v>
      </c>
      <c r="C114" s="11">
        <v>2000.0</v>
      </c>
      <c r="D114" s="10" t="s">
        <v>310</v>
      </c>
      <c r="E114" s="27" t="str">
        <f>HYPERLINK("http://www.aslscenarioarchive.com/viewPub.php?id=2002","Red Factories")</f>
        <v>Red Factories</v>
      </c>
      <c r="F114" s="32" t="str">
        <f>HYPERLINK("http://www.aslscenarioarchive.com/scenario.php?id=63805","RB CG II")</f>
        <v>RB CG II</v>
      </c>
      <c r="G114" s="24" t="str">
        <f>HYPERLINK("http://www.aslscenarioarchive.com/scenario.php?id=56111","RB CG II (Red Barricades")</f>
        <v>RB CG II (Red Barricades</v>
      </c>
      <c r="H114" s="30"/>
      <c r="I114" s="16" t="s">
        <v>16</v>
      </c>
      <c r="J114" s="16" t="s">
        <v>15</v>
      </c>
      <c r="K114" s="17">
        <v>15656.0</v>
      </c>
      <c r="L114" s="16" t="s">
        <v>17</v>
      </c>
      <c r="M114" s="16"/>
    </row>
    <row r="115" ht="15.0" customHeight="1">
      <c r="A115" s="9">
        <v>32509.0</v>
      </c>
      <c r="B115" s="10" t="s">
        <v>311</v>
      </c>
      <c r="C115" s="11" t="s">
        <v>312</v>
      </c>
      <c r="D115" s="10" t="s">
        <v>313</v>
      </c>
      <c r="E115" s="12" t="str">
        <f>HYPERLINK("http://www.aslscenarioarchive.com/viewPub.php?id=703","Beyond Valor 3rd Ed")</f>
        <v>Beyond Valor 3rd Ed</v>
      </c>
      <c r="F115" s="13">
        <f>HYPERLINK("http://www.aslscenarioarchive.com/scenario.php?id=56089",124)</f>
        <v>124</v>
      </c>
      <c r="G115" s="14" t="str">
        <f>HYPERLINK("http://www.aslscenarioarchive.com/scenario.php?id=56257","A16 (ASL Annual `90)")</f>
        <v>A16 (ASL Annual `90)</v>
      </c>
      <c r="H115" s="15"/>
      <c r="I115" s="16" t="s">
        <v>96</v>
      </c>
      <c r="J115" s="16" t="s">
        <v>16</v>
      </c>
      <c r="K115" s="17">
        <v>14579.0</v>
      </c>
      <c r="L115" s="16" t="s">
        <v>314</v>
      </c>
      <c r="M115" s="16"/>
    </row>
    <row r="116" ht="15.0" customHeight="1">
      <c r="A116" s="9">
        <v>32509.0</v>
      </c>
      <c r="B116" s="10" t="s">
        <v>311</v>
      </c>
      <c r="C116" s="11" t="s">
        <v>315</v>
      </c>
      <c r="D116" s="10" t="s">
        <v>316</v>
      </c>
      <c r="E116" s="12" t="str">
        <f>HYPERLINK("http://www.aslscenarioarchive.com/viewPub.php?id=732","ASL Annual `90")</f>
        <v>ASL Annual `90</v>
      </c>
      <c r="F116" s="13" t="str">
        <f>HYPERLINK("http://www.aslscenarioarchive.com/scenario.php?id=56259","A18")</f>
        <v>A18</v>
      </c>
      <c r="G116" s="20"/>
      <c r="H116" s="20"/>
      <c r="I116" s="16" t="s">
        <v>27</v>
      </c>
      <c r="J116" s="16" t="s">
        <v>15</v>
      </c>
      <c r="K116" s="17">
        <v>15754.0</v>
      </c>
      <c r="L116" s="16" t="s">
        <v>317</v>
      </c>
      <c r="M116" s="16"/>
    </row>
    <row r="117" ht="15.0" customHeight="1">
      <c r="A117" s="9">
        <v>32509.0</v>
      </c>
      <c r="B117" s="10" t="s">
        <v>311</v>
      </c>
      <c r="C117" s="11" t="s">
        <v>318</v>
      </c>
      <c r="D117" s="10" t="s">
        <v>319</v>
      </c>
      <c r="E117" s="12" t="str">
        <f>HYPERLINK("http://www.aslscenarioarchive.com/viewPub.php?id=714","For King and Country")</f>
        <v>For King and Country</v>
      </c>
      <c r="F117" s="13">
        <f>HYPERLINK("http://www.aslscenarioarchive.com/scenario.php?id=56065",100)</f>
        <v>100</v>
      </c>
      <c r="G117" s="24" t="str">
        <f>HYPERLINK("http://www.aslscenarioarchive.com/scenario.php?id=56265","A24 (ASL Annual `90)")</f>
        <v>A24 (ASL Annual `90)</v>
      </c>
      <c r="H117" s="25"/>
      <c r="I117" s="16" t="s">
        <v>118</v>
      </c>
      <c r="J117" s="16" t="s">
        <v>15</v>
      </c>
      <c r="K117" s="17">
        <v>15918.0</v>
      </c>
      <c r="L117" s="16" t="s">
        <v>320</v>
      </c>
      <c r="M117" s="16"/>
    </row>
    <row r="118" ht="15.0" customHeight="1">
      <c r="A118" s="9">
        <v>32874.0</v>
      </c>
      <c r="B118" s="10" t="s">
        <v>321</v>
      </c>
      <c r="C118" s="11" t="s">
        <v>322</v>
      </c>
      <c r="D118" s="10" t="s">
        <v>323</v>
      </c>
      <c r="E118" s="12" t="str">
        <f>HYPERLINK("http://www.aslscenarioarchive.com/viewPub.php?id=733","ASL Annual `91")</f>
        <v>ASL Annual `91</v>
      </c>
      <c r="F118" s="13" t="str">
        <f>HYPERLINK("http://www.aslscenarioarchive.com/scenario.php?id=56271","A27")</f>
        <v>A27</v>
      </c>
      <c r="G118" s="20"/>
      <c r="H118" s="20"/>
      <c r="I118" s="16" t="s">
        <v>15</v>
      </c>
      <c r="J118" s="16" t="s">
        <v>27</v>
      </c>
      <c r="K118" s="17">
        <v>16402.0</v>
      </c>
      <c r="L118" s="16" t="s">
        <v>324</v>
      </c>
      <c r="M118" s="16"/>
    </row>
    <row r="119" ht="15.0" customHeight="1">
      <c r="A119" s="9">
        <v>32874.0</v>
      </c>
      <c r="B119" s="10" t="s">
        <v>321</v>
      </c>
      <c r="C119" s="11" t="s">
        <v>325</v>
      </c>
      <c r="D119" s="10" t="s">
        <v>326</v>
      </c>
      <c r="E119" s="12" t="str">
        <f>HYPERLINK("http://www.aslscenarioarchive.com/viewPub.php?id=1584","Doomed Battalions 3rd Ed")</f>
        <v>Doomed Battalions 3rd Ed</v>
      </c>
      <c r="F119" s="13">
        <f>HYPERLINK("http://www.aslscenarioarchive.com/scenario.php?id=60781",144)</f>
        <v>144</v>
      </c>
      <c r="G119" s="14" t="str">
        <f>HYPERLINK("http://www.aslscenarioarchive.com/scenario.php?id=56272","A28 (ASL Annual `91)")</f>
        <v>A28 (ASL Annual `91)</v>
      </c>
      <c r="H119" s="15"/>
      <c r="I119" s="16" t="s">
        <v>327</v>
      </c>
      <c r="J119" s="16" t="s">
        <v>15</v>
      </c>
      <c r="K119" s="17">
        <v>15073.0</v>
      </c>
      <c r="L119" s="16" t="s">
        <v>328</v>
      </c>
      <c r="M119" s="16"/>
    </row>
    <row r="120" ht="15.0" customHeight="1">
      <c r="A120" s="9">
        <v>32874.0</v>
      </c>
      <c r="B120" s="10" t="s">
        <v>321</v>
      </c>
      <c r="C120" s="11" t="s">
        <v>329</v>
      </c>
      <c r="D120" s="10" t="s">
        <v>330</v>
      </c>
      <c r="E120" s="12" t="str">
        <f>HYPERLINK("http://www.aslscenarioarchive.com/viewPub.php?id=733","ASL Annual `91")</f>
        <v>ASL Annual `91</v>
      </c>
      <c r="F120" s="13" t="str">
        <f>HYPERLINK("http://www.aslscenarioarchive.com/scenario.php?id=56273","A29")</f>
        <v>A29</v>
      </c>
      <c r="G120" s="20"/>
      <c r="H120" s="20"/>
      <c r="I120" s="16" t="s">
        <v>137</v>
      </c>
      <c r="J120" s="16" t="s">
        <v>27</v>
      </c>
      <c r="K120" s="17">
        <v>16432.0</v>
      </c>
      <c r="L120" s="16" t="s">
        <v>331</v>
      </c>
      <c r="M120" s="16"/>
    </row>
  </sheetData>
  <autoFilter ref="$A$1:$M$120">
    <sortState ref="A1:M120">
      <sortCondition ref="A1:A120"/>
      <sortCondition ref="C1:C120"/>
      <sortCondition ref="F1:F120"/>
      <sortCondition ref="M1:M120"/>
    </sortState>
  </autoFil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75"/>
  <cols>
    <col customWidth="1" min="1" max="1" width="59.0"/>
    <col customWidth="1" min="2" max="2" width="59.88"/>
  </cols>
  <sheetData>
    <row r="1">
      <c r="A1" s="33" t="s">
        <v>332</v>
      </c>
      <c r="B1" t="str">
        <f t="shared" ref="B1:B19" si="1">right(A1,len(A1)-find(" ",A1))</f>
        <v>Swan Song</v>
      </c>
    </row>
    <row r="2">
      <c r="A2" s="33" t="s">
        <v>333</v>
      </c>
      <c r="B2" t="str">
        <f t="shared" si="1"/>
        <v>Chateau de Quesnoy</v>
      </c>
    </row>
    <row r="3">
      <c r="A3" s="33" t="s">
        <v>334</v>
      </c>
      <c r="B3" t="str">
        <f t="shared" si="1"/>
        <v>Counterstroke at Stonne</v>
      </c>
    </row>
    <row r="4">
      <c r="A4" s="33" t="s">
        <v>335</v>
      </c>
      <c r="B4" t="str">
        <f t="shared" si="1"/>
        <v>First Day of Diadem</v>
      </c>
    </row>
    <row r="5">
      <c r="A5" s="33" t="s">
        <v>336</v>
      </c>
      <c r="B5" t="str">
        <f t="shared" si="1"/>
        <v>Last Defense Line</v>
      </c>
    </row>
    <row r="6">
      <c r="A6" s="33" t="s">
        <v>337</v>
      </c>
      <c r="B6" t="str">
        <f t="shared" si="1"/>
        <v>In Rommel's Wake</v>
      </c>
    </row>
    <row r="7">
      <c r="A7" s="33" t="s">
        <v>338</v>
      </c>
      <c r="B7" t="str">
        <f t="shared" si="1"/>
        <v>Triumph Atop Taraldsvikfjell</v>
      </c>
    </row>
    <row r="8">
      <c r="A8" s="33" t="s">
        <v>339</v>
      </c>
      <c r="B8" t="str">
        <f t="shared" si="1"/>
        <v>Siam Sambal</v>
      </c>
    </row>
    <row r="9">
      <c r="A9" s="33" t="s">
        <v>340</v>
      </c>
      <c r="B9" t="str">
        <f t="shared" si="1"/>
        <v>Audacity!</v>
      </c>
    </row>
    <row r="10">
      <c r="A10" s="33" t="s">
        <v>341</v>
      </c>
      <c r="B10" t="str">
        <f t="shared" si="1"/>
        <v>The Last Roadblock</v>
      </c>
    </row>
    <row r="11">
      <c r="A11" s="33" t="s">
        <v>342</v>
      </c>
      <c r="B11" t="str">
        <f t="shared" si="1"/>
        <v>The Army at the Edge of the World</v>
      </c>
    </row>
    <row r="12">
      <c r="A12" s="33" t="s">
        <v>343</v>
      </c>
      <c r="B12" t="str">
        <f t="shared" si="1"/>
        <v>Just an Illusion</v>
      </c>
    </row>
    <row r="13">
      <c r="A13" s="33" t="s">
        <v>344</v>
      </c>
      <c r="B13" t="str">
        <f t="shared" si="1"/>
        <v>Ultimate Treachery</v>
      </c>
    </row>
    <row r="14">
      <c r="A14" s="33" t="s">
        <v>345</v>
      </c>
      <c r="B14" t="str">
        <f t="shared" si="1"/>
        <v>The Time of Humiliations</v>
      </c>
    </row>
    <row r="15">
      <c r="A15" s="33" t="s">
        <v>346</v>
      </c>
      <c r="B15" t="str">
        <f t="shared" si="1"/>
        <v>Chance d'une Affaire</v>
      </c>
    </row>
    <row r="16">
      <c r="A16" s="33" t="s">
        <v>347</v>
      </c>
      <c r="B16" t="str">
        <f t="shared" si="1"/>
        <v>The French Decide to Fight</v>
      </c>
    </row>
    <row r="17">
      <c r="A17" s="33" t="s">
        <v>348</v>
      </c>
      <c r="B17" t="str">
        <f t="shared" si="1"/>
        <v>Fighting at the World’s Edge</v>
      </c>
    </row>
    <row r="18">
      <c r="A18" s="33" t="s">
        <v>349</v>
      </c>
      <c r="B18" t="str">
        <f t="shared" si="1"/>
        <v>The French Perimeter</v>
      </c>
    </row>
    <row r="19">
      <c r="A19" s="33" t="s">
        <v>350</v>
      </c>
      <c r="B19" t="str">
        <f t="shared" si="1"/>
        <v>Failure to Communicate</v>
      </c>
    </row>
  </sheetData>
  <drawing r:id="rId1"/>
</worksheet>
</file>